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maarjakuuskla\OneDrive - Haljala Vallavalitsus\Dokumendid\EELARVE\2020 EA\teisele lugemisele\"/>
    </mc:Choice>
  </mc:AlternateContent>
  <xr:revisionPtr revIDLastSave="82" documentId="8_{D8C411E9-52FB-486A-8706-E5B7723FB56B}" xr6:coauthVersionLast="45" xr6:coauthVersionMax="45" xr10:uidLastSave="{04DC5E01-0CFA-4548-AE09-48EE6906EBB6}"/>
  <bookViews>
    <workbookView xWindow="-110" yWindow="-110" windowWidth="19420" windowHeight="10420" xr2:uid="{00000000-000D-0000-FFFF-FFFF00000000}"/>
  </bookViews>
  <sheets>
    <sheet name="KOONDEELARVE" sheetId="2" r:id="rId1"/>
    <sheet name="EELARVE " sheetId="1" r:id="rId2"/>
    <sheet name="reservfondi kasutus" sheetId="4" state="hidden" r:id="rId3"/>
    <sheet name="liikmemaksud" sheetId="3" state="hidden" r:id="rId4"/>
  </sheets>
  <externalReferences>
    <externalReference r:id="rId5"/>
  </externalReferences>
  <definedNames>
    <definedName name="_xlnm._FilterDatabase" localSheetId="1" hidden="1">'EELARVE '!$51:$51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8" i="1" l="1"/>
  <c r="J553" i="1" s="1"/>
  <c r="J359" i="1"/>
  <c r="J567" i="1" l="1"/>
  <c r="J623" i="1" l="1"/>
  <c r="J586" i="1"/>
  <c r="J533" i="1"/>
  <c r="H533" i="1"/>
  <c r="J179" i="1" l="1"/>
  <c r="I149" i="1"/>
  <c r="I147" i="1"/>
  <c r="J72" i="1"/>
  <c r="E31" i="2" l="1"/>
  <c r="E30" i="2"/>
  <c r="E27" i="2"/>
  <c r="E26" i="2"/>
  <c r="E23" i="2"/>
  <c r="E15" i="2"/>
  <c r="E13" i="2" s="1"/>
  <c r="E11" i="2"/>
  <c r="E9" i="2"/>
  <c r="E6" i="2"/>
  <c r="E5" i="2"/>
  <c r="E4" i="2"/>
  <c r="D15" i="2"/>
  <c r="E29" i="2" l="1"/>
  <c r="E3" i="2"/>
  <c r="D4" i="2"/>
  <c r="H598" i="1"/>
  <c r="H596" i="1"/>
  <c r="H591" i="1"/>
  <c r="H590" i="1"/>
  <c r="H583" i="1"/>
  <c r="H572" i="1"/>
  <c r="H578" i="1"/>
  <c r="H568" i="1"/>
  <c r="H567" i="1"/>
  <c r="H443" i="1"/>
  <c r="H438" i="1"/>
  <c r="H436" i="1"/>
  <c r="H155" i="1"/>
  <c r="H21" i="1"/>
  <c r="H558" i="1" l="1"/>
  <c r="D22" i="2" s="1"/>
  <c r="H132" i="1"/>
  <c r="I141" i="1"/>
  <c r="B7" i="4"/>
  <c r="H7" i="1"/>
  <c r="I26" i="1" l="1"/>
  <c r="I46" i="1"/>
  <c r="E12" i="2" s="1"/>
  <c r="I17" i="1"/>
  <c r="I10" i="1"/>
  <c r="I4" i="1"/>
  <c r="I623" i="1"/>
  <c r="I586" i="1"/>
  <c r="E24" i="2" s="1"/>
  <c r="I613" i="1"/>
  <c r="I602" i="1"/>
  <c r="E25" i="2" s="1"/>
  <c r="I558" i="1"/>
  <c r="E22" i="2" s="1"/>
  <c r="I554" i="1"/>
  <c r="E21" i="2" s="1"/>
  <c r="I533" i="1"/>
  <c r="I525" i="1"/>
  <c r="I508" i="1"/>
  <c r="I506" i="1"/>
  <c r="I494" i="1"/>
  <c r="I492" i="1"/>
  <c r="I482" i="1"/>
  <c r="I479" i="1"/>
  <c r="I477" i="1"/>
  <c r="I472" i="1"/>
  <c r="I470" i="1"/>
  <c r="I451" i="1"/>
  <c r="I435" i="1"/>
  <c r="I433" i="1"/>
  <c r="I382" i="1"/>
  <c r="I364" i="1"/>
  <c r="I358" i="1"/>
  <c r="I356" i="1"/>
  <c r="I342" i="1"/>
  <c r="I334" i="1"/>
  <c r="I317" i="1"/>
  <c r="I302" i="1"/>
  <c r="I239" i="1"/>
  <c r="I227" i="1"/>
  <c r="I214" i="1"/>
  <c r="I198" i="1"/>
  <c r="I191" i="1"/>
  <c r="I183" i="1"/>
  <c r="I171" i="1"/>
  <c r="I169" i="1"/>
  <c r="I155" i="1"/>
  <c r="I146" i="1"/>
  <c r="I137" i="1"/>
  <c r="I127" i="1"/>
  <c r="H127" i="1"/>
  <c r="I122" i="1"/>
  <c r="I111" i="1"/>
  <c r="I104" i="1"/>
  <c r="I94" i="1"/>
  <c r="I63" i="1"/>
  <c r="I55" i="1"/>
  <c r="I8" i="1" l="1"/>
  <c r="E7" i="2" s="1"/>
  <c r="I25" i="1"/>
  <c r="I23" i="1" s="1"/>
  <c r="E10" i="2"/>
  <c r="E8" i="2" s="1"/>
  <c r="E20" i="2"/>
  <c r="I3" i="1"/>
  <c r="I553" i="1"/>
  <c r="I481" i="1"/>
  <c r="I363" i="1"/>
  <c r="I197" i="1"/>
  <c r="I160" i="1"/>
  <c r="I140" i="1"/>
  <c r="I121" i="1"/>
  <c r="I103" i="1"/>
  <c r="I54" i="1"/>
  <c r="E2" i="2" l="1"/>
  <c r="E19" i="2" s="1"/>
  <c r="E28" i="2" s="1"/>
  <c r="E32" i="2" s="1"/>
  <c r="I53" i="1"/>
  <c r="I549" i="1" s="1"/>
  <c r="I619" i="1" s="1"/>
  <c r="I628" i="1" s="1"/>
  <c r="I630" i="1" s="1"/>
  <c r="J624" i="1"/>
  <c r="G602" i="1" l="1"/>
  <c r="J315" i="1"/>
  <c r="J104" i="1"/>
  <c r="J57" i="1" l="1"/>
  <c r="J149" i="1"/>
  <c r="J113" i="1"/>
  <c r="J525" i="1" l="1"/>
  <c r="J451" i="1"/>
  <c r="F15" i="2" l="1"/>
  <c r="F13" i="2" s="1"/>
  <c r="J435" i="1"/>
  <c r="J433" i="1"/>
  <c r="J358" i="1"/>
  <c r="J317" i="1"/>
  <c r="J137" i="1"/>
  <c r="J342" i="1" l="1"/>
  <c r="J334" i="1"/>
  <c r="J508" i="1" l="1"/>
  <c r="J506" i="1"/>
  <c r="J494" i="1"/>
  <c r="J492" i="1"/>
  <c r="J482" i="1"/>
  <c r="J470" i="1"/>
  <c r="J472" i="1"/>
  <c r="J479" i="1"/>
  <c r="J477" i="1"/>
  <c r="J481" i="1" l="1"/>
  <c r="J183" i="1"/>
  <c r="J171" i="1"/>
  <c r="J169" i="1"/>
  <c r="J356" i="1" l="1"/>
  <c r="J239" i="1"/>
  <c r="J227" i="1"/>
  <c r="J214" i="1"/>
  <c r="J198" i="1"/>
  <c r="J122" i="1"/>
  <c r="J111" i="1"/>
  <c r="J85" i="1"/>
  <c r="J63" i="1"/>
  <c r="J103" i="1" l="1"/>
  <c r="J155" i="1"/>
  <c r="J146" i="1"/>
  <c r="J141" i="1"/>
  <c r="J127" i="1"/>
  <c r="J121" i="1" l="1"/>
  <c r="D13" i="3"/>
  <c r="C13" i="3"/>
  <c r="B13" i="3"/>
  <c r="J94" i="1" l="1"/>
  <c r="J382" i="1"/>
  <c r="J364" i="1"/>
  <c r="J363" i="1" l="1"/>
  <c r="J302" i="1"/>
  <c r="J602" i="1" l="1"/>
  <c r="J197" i="1"/>
  <c r="J194" i="1"/>
  <c r="J191" i="1"/>
  <c r="J160" i="1" s="1"/>
  <c r="J140" i="1"/>
  <c r="J87" i="1"/>
  <c r="J55" i="1"/>
  <c r="F31" i="2"/>
  <c r="F30" i="2"/>
  <c r="F27" i="2"/>
  <c r="F26" i="2"/>
  <c r="F23" i="2"/>
  <c r="F11" i="2"/>
  <c r="F9" i="2"/>
  <c r="F6" i="2"/>
  <c r="F5" i="2"/>
  <c r="F4" i="2"/>
  <c r="J613" i="1"/>
  <c r="F24" i="2"/>
  <c r="F25" i="2" l="1"/>
  <c r="F22" i="2"/>
  <c r="F3" i="2"/>
  <c r="F29" i="2"/>
  <c r="J54" i="1"/>
  <c r="J53" i="1" s="1"/>
  <c r="H55" i="1"/>
  <c r="J46" i="1"/>
  <c r="F12" i="2" s="1"/>
  <c r="H26" i="1"/>
  <c r="H25" i="1" s="1"/>
  <c r="H23" i="1" s="1"/>
  <c r="J26" i="1"/>
  <c r="J17" i="1"/>
  <c r="H17" i="1"/>
  <c r="J10" i="1"/>
  <c r="J4" i="1"/>
  <c r="G586" i="1"/>
  <c r="G25" i="1"/>
  <c r="G10" i="1"/>
  <c r="F21" i="2" l="1"/>
  <c r="F20" i="2" s="1"/>
  <c r="J25" i="1"/>
  <c r="J23" i="1" s="1"/>
  <c r="F10" i="2"/>
  <c r="F8" i="2" s="1"/>
  <c r="J8" i="1"/>
  <c r="F7" i="2" s="1"/>
  <c r="F2" i="2" l="1"/>
  <c r="J3" i="1"/>
  <c r="J549" i="1" s="1"/>
  <c r="J619" i="1" s="1"/>
  <c r="D27" i="2"/>
  <c r="D26" i="2"/>
  <c r="D23" i="2"/>
  <c r="C11" i="2"/>
  <c r="D11" i="2"/>
  <c r="D9" i="2"/>
  <c r="D6" i="2"/>
  <c r="D5" i="2"/>
  <c r="D3" i="2" l="1"/>
  <c r="F19" i="2"/>
  <c r="F28" i="2" s="1"/>
  <c r="F32" i="2" s="1"/>
  <c r="J628" i="1"/>
  <c r="J630" i="1" s="1"/>
  <c r="G342" i="1"/>
  <c r="H602" i="1" l="1"/>
  <c r="D25" i="2" s="1"/>
  <c r="H4" i="1" l="1"/>
  <c r="H10" i="1"/>
  <c r="H46" i="1"/>
  <c r="D12" i="2" s="1"/>
  <c r="H63" i="1"/>
  <c r="H85" i="1"/>
  <c r="H87" i="1"/>
  <c r="H90" i="1"/>
  <c r="H94" i="1"/>
  <c r="H104" i="1"/>
  <c r="H111" i="1"/>
  <c r="H122" i="1"/>
  <c r="H125" i="1"/>
  <c r="H135" i="1"/>
  <c r="H137" i="1"/>
  <c r="H141" i="1"/>
  <c r="H146" i="1"/>
  <c r="H161" i="1"/>
  <c r="H164" i="1"/>
  <c r="H169" i="1"/>
  <c r="H171" i="1"/>
  <c r="H183" i="1"/>
  <c r="H191" i="1"/>
  <c r="H195" i="1"/>
  <c r="H194" i="1" s="1"/>
  <c r="H198" i="1"/>
  <c r="H214" i="1"/>
  <c r="H227" i="1"/>
  <c r="H239" i="1"/>
  <c r="H248" i="1"/>
  <c r="H259" i="1"/>
  <c r="H271" i="1"/>
  <c r="H282" i="1"/>
  <c r="H292" i="1"/>
  <c r="H302" i="1"/>
  <c r="H315" i="1"/>
  <c r="H317" i="1"/>
  <c r="H331" i="1"/>
  <c r="H334" i="1"/>
  <c r="H342" i="1"/>
  <c r="H347" i="1"/>
  <c r="H351" i="1"/>
  <c r="H354" i="1"/>
  <c r="H356" i="1"/>
  <c r="H358" i="1"/>
  <c r="H364" i="1"/>
  <c r="H382" i="1"/>
  <c r="H399" i="1"/>
  <c r="H416" i="1"/>
  <c r="H433" i="1"/>
  <c r="H435" i="1"/>
  <c r="H451" i="1"/>
  <c r="H470" i="1"/>
  <c r="H472" i="1"/>
  <c r="H477" i="1"/>
  <c r="H479" i="1"/>
  <c r="H482" i="1"/>
  <c r="H492" i="1"/>
  <c r="H494" i="1"/>
  <c r="H506" i="1"/>
  <c r="H508" i="1"/>
  <c r="H518" i="1"/>
  <c r="H522" i="1"/>
  <c r="H525" i="1"/>
  <c r="H527" i="1"/>
  <c r="H529" i="1"/>
  <c r="H531" i="1"/>
  <c r="H542" i="1"/>
  <c r="H554" i="1"/>
  <c r="D21" i="2" s="1"/>
  <c r="H586" i="1"/>
  <c r="D24" i="2" s="1"/>
  <c r="H613" i="1"/>
  <c r="H623" i="1"/>
  <c r="D20" i="2" l="1"/>
  <c r="H103" i="1"/>
  <c r="H54" i="1"/>
  <c r="D10" i="2"/>
  <c r="D8" i="2" s="1"/>
  <c r="H140" i="1"/>
  <c r="H8" i="1"/>
  <c r="H121" i="1"/>
  <c r="H160" i="1"/>
  <c r="H481" i="1"/>
  <c r="H553" i="1"/>
  <c r="H363" i="1"/>
  <c r="H197" i="1"/>
  <c r="D13" i="2"/>
  <c r="D29" i="2"/>
  <c r="C4" i="2"/>
  <c r="H53" i="1" l="1"/>
  <c r="D7" i="2"/>
  <c r="H3" i="1"/>
  <c r="H549" i="1" l="1"/>
  <c r="H619" i="1" s="1"/>
  <c r="H628" i="1" s="1"/>
  <c r="H630" i="1" s="1"/>
  <c r="G292" i="1"/>
  <c r="D2" i="2" l="1"/>
  <c r="D19" i="2" s="1"/>
  <c r="D28" i="2" s="1"/>
  <c r="D32" i="2" s="1"/>
  <c r="C27" i="2"/>
  <c r="C26" i="2"/>
  <c r="C9" i="2"/>
  <c r="C5" i="2"/>
  <c r="C6" i="2"/>
  <c r="C30" i="2"/>
  <c r="C3" i="2" l="1"/>
  <c r="C15" i="2"/>
  <c r="C13" i="2" s="1"/>
  <c r="G451" i="1"/>
  <c r="G533" i="1" l="1"/>
  <c r="G508" i="1"/>
  <c r="G472" i="1" l="1"/>
  <c r="D358" i="1" l="1"/>
  <c r="E358" i="1"/>
  <c r="F358" i="1"/>
  <c r="G358" i="1"/>
  <c r="C358" i="1"/>
  <c r="G435" i="1" l="1"/>
  <c r="G416" i="1"/>
  <c r="G399" i="1"/>
  <c r="G382" i="1"/>
  <c r="G364" i="1"/>
  <c r="G317" i="1" l="1"/>
  <c r="G63" i="1" l="1"/>
  <c r="G302" i="1"/>
  <c r="C239" i="1" l="1"/>
  <c r="D239" i="1"/>
  <c r="E239" i="1"/>
  <c r="F239" i="1"/>
  <c r="G239" i="1" l="1"/>
  <c r="G623" i="1" l="1"/>
  <c r="G613" i="1"/>
  <c r="G558" i="1"/>
  <c r="G554" i="1"/>
  <c r="G542" i="1"/>
  <c r="G531" i="1"/>
  <c r="G529" i="1"/>
  <c r="G527" i="1"/>
  <c r="G525" i="1"/>
  <c r="G522" i="1"/>
  <c r="G518" i="1"/>
  <c r="G506" i="1"/>
  <c r="G494" i="1"/>
  <c r="G492" i="1"/>
  <c r="G482" i="1"/>
  <c r="G479" i="1"/>
  <c r="G477" i="1"/>
  <c r="G470" i="1"/>
  <c r="G433" i="1"/>
  <c r="G356" i="1"/>
  <c r="G354" i="1"/>
  <c r="G351" i="1"/>
  <c r="G347" i="1"/>
  <c r="G334" i="1"/>
  <c r="G331" i="1"/>
  <c r="G315" i="1"/>
  <c r="G282" i="1"/>
  <c r="G271" i="1"/>
  <c r="G259" i="1"/>
  <c r="G248" i="1"/>
  <c r="G227" i="1"/>
  <c r="G214" i="1"/>
  <c r="G198" i="1"/>
  <c r="G195" i="1"/>
  <c r="G191" i="1"/>
  <c r="G183" i="1"/>
  <c r="G171" i="1"/>
  <c r="G169" i="1"/>
  <c r="G164" i="1"/>
  <c r="G161" i="1"/>
  <c r="G155" i="1"/>
  <c r="G146" i="1"/>
  <c r="G141" i="1"/>
  <c r="G137" i="1"/>
  <c r="G135" i="1"/>
  <c r="G127" i="1"/>
  <c r="G125" i="1"/>
  <c r="G122" i="1"/>
  <c r="G111" i="1"/>
  <c r="G104" i="1"/>
  <c r="G94" i="1"/>
  <c r="G90" i="1"/>
  <c r="G87" i="1"/>
  <c r="G55" i="1"/>
  <c r="G46" i="1"/>
  <c r="C12" i="2" s="1"/>
  <c r="G17" i="1"/>
  <c r="G8" i="1" s="1"/>
  <c r="G4" i="1"/>
  <c r="G54" i="1" l="1"/>
  <c r="C21" i="2"/>
  <c r="C22" i="2"/>
  <c r="C31" i="2"/>
  <c r="C29" i="2" s="1"/>
  <c r="G194" i="1"/>
  <c r="C10" i="2"/>
  <c r="C8" i="2" s="1"/>
  <c r="G160" i="1"/>
  <c r="G103" i="1"/>
  <c r="G140" i="1"/>
  <c r="G197" i="1"/>
  <c r="G481" i="1"/>
  <c r="G553" i="1"/>
  <c r="G363" i="1"/>
  <c r="G121" i="1"/>
  <c r="C20" i="2" l="1"/>
  <c r="G23" i="1"/>
  <c r="G3" i="1" s="1"/>
  <c r="C7" i="2"/>
  <c r="C2" i="2" s="1"/>
  <c r="C19" i="2" s="1"/>
  <c r="G53" i="1"/>
  <c r="C227" i="1"/>
  <c r="D227" i="1"/>
  <c r="E227" i="1"/>
  <c r="F227" i="1"/>
  <c r="C28" i="2" l="1"/>
  <c r="C32" i="2" s="1"/>
  <c r="G549" i="1"/>
  <c r="C506" i="1"/>
  <c r="D506" i="1"/>
  <c r="E506" i="1"/>
  <c r="F506" i="1"/>
  <c r="C508" i="1"/>
  <c r="D508" i="1"/>
  <c r="E508" i="1"/>
  <c r="F508" i="1"/>
  <c r="G619" i="1" l="1"/>
  <c r="G628" i="1" s="1"/>
  <c r="G630" i="1" s="1"/>
  <c r="G551" i="1"/>
  <c r="F63" i="1"/>
  <c r="F55" i="1"/>
  <c r="E55" i="1"/>
  <c r="E63" i="1"/>
  <c r="E85" i="1"/>
  <c r="E87" i="1"/>
  <c r="E90" i="1"/>
  <c r="E94" i="1"/>
  <c r="E104" i="1"/>
  <c r="E111" i="1"/>
  <c r="E122" i="1"/>
  <c r="E125" i="1"/>
  <c r="E127" i="1"/>
  <c r="E135" i="1"/>
  <c r="E137" i="1"/>
  <c r="E141" i="1"/>
  <c r="E146" i="1"/>
  <c r="E155" i="1"/>
  <c r="E161" i="1"/>
  <c r="E164" i="1"/>
  <c r="E169" i="1"/>
  <c r="E171" i="1"/>
  <c r="E183" i="1"/>
  <c r="E191" i="1"/>
  <c r="E195" i="1"/>
  <c r="E194" i="1" s="1"/>
  <c r="E198" i="1"/>
  <c r="E214" i="1"/>
  <c r="E248" i="1"/>
  <c r="E259" i="1"/>
  <c r="E271" i="1"/>
  <c r="E282" i="1"/>
  <c r="E292" i="1"/>
  <c r="E302" i="1"/>
  <c r="E315" i="1"/>
  <c r="E317" i="1"/>
  <c r="E331" i="1"/>
  <c r="E334" i="1"/>
  <c r="E342" i="1"/>
  <c r="E347" i="1"/>
  <c r="E351" i="1"/>
  <c r="E354" i="1"/>
  <c r="E472" i="1"/>
  <c r="E140" i="1" l="1"/>
  <c r="E160" i="1"/>
  <c r="E121" i="1"/>
  <c r="E103" i="1"/>
  <c r="D542" i="1"/>
  <c r="E542" i="1"/>
  <c r="F542" i="1"/>
  <c r="C542" i="1"/>
  <c r="D533" i="1"/>
  <c r="E533" i="1"/>
  <c r="F533" i="1"/>
  <c r="E416" i="1"/>
  <c r="D354" i="1"/>
  <c r="F354" i="1"/>
  <c r="D351" i="1"/>
  <c r="F351" i="1"/>
  <c r="D347" i="1"/>
  <c r="F347" i="1"/>
  <c r="D191" i="1"/>
  <c r="F191" i="1"/>
  <c r="C127" i="1"/>
  <c r="D127" i="1"/>
  <c r="F127" i="1"/>
  <c r="E482" i="1" l="1"/>
  <c r="F482" i="1"/>
  <c r="F451" i="1"/>
  <c r="F356" i="1"/>
  <c r="C55" i="1" l="1"/>
  <c r="D55" i="1"/>
  <c r="D531" i="1" l="1"/>
  <c r="E531" i="1"/>
  <c r="F531" i="1"/>
  <c r="D529" i="1"/>
  <c r="E529" i="1"/>
  <c r="F529" i="1"/>
  <c r="D527" i="1"/>
  <c r="E527" i="1"/>
  <c r="F527" i="1"/>
  <c r="D451" i="1"/>
  <c r="C623" i="1" l="1"/>
  <c r="D623" i="1"/>
  <c r="C613" i="1"/>
  <c r="D613" i="1"/>
  <c r="D602" i="1"/>
  <c r="D586" i="1"/>
  <c r="D558" i="1"/>
  <c r="C554" i="1"/>
  <c r="D554" i="1"/>
  <c r="C533" i="1"/>
  <c r="C531" i="1"/>
  <c r="C529" i="1"/>
  <c r="C527" i="1"/>
  <c r="C525" i="1"/>
  <c r="D525" i="1"/>
  <c r="C522" i="1"/>
  <c r="D522" i="1"/>
  <c r="C518" i="1"/>
  <c r="D518" i="1"/>
  <c r="C494" i="1"/>
  <c r="D494" i="1"/>
  <c r="C492" i="1"/>
  <c r="D492" i="1"/>
  <c r="C482" i="1"/>
  <c r="D482" i="1"/>
  <c r="C479" i="1"/>
  <c r="D479" i="1"/>
  <c r="C477" i="1"/>
  <c r="D477" i="1"/>
  <c r="C472" i="1"/>
  <c r="D472" i="1"/>
  <c r="C470" i="1"/>
  <c r="D470" i="1"/>
  <c r="D435" i="1"/>
  <c r="E435" i="1"/>
  <c r="F435" i="1"/>
  <c r="C435" i="1"/>
  <c r="C354" i="1"/>
  <c r="C351" i="1"/>
  <c r="C347" i="1"/>
  <c r="D198" i="1"/>
  <c r="F198" i="1"/>
  <c r="C198" i="1"/>
  <c r="D195" i="1"/>
  <c r="D194" i="1" s="1"/>
  <c r="F195" i="1"/>
  <c r="F194" i="1" s="1"/>
  <c r="C195" i="1"/>
  <c r="C194" i="1" s="1"/>
  <c r="C191" i="1"/>
  <c r="D155" i="1"/>
  <c r="F155" i="1"/>
  <c r="C155" i="1"/>
  <c r="D137" i="1"/>
  <c r="F137" i="1"/>
  <c r="C137" i="1"/>
  <c r="D90" i="1"/>
  <c r="F90" i="1"/>
  <c r="C90" i="1"/>
  <c r="C17" i="1"/>
  <c r="C451" i="1"/>
  <c r="E451" i="1"/>
  <c r="C433" i="1"/>
  <c r="D433" i="1"/>
  <c r="E433" i="1"/>
  <c r="F433" i="1"/>
  <c r="C416" i="1"/>
  <c r="D416" i="1"/>
  <c r="F416" i="1"/>
  <c r="C399" i="1"/>
  <c r="D399" i="1"/>
  <c r="E399" i="1"/>
  <c r="F399" i="1"/>
  <c r="C382" i="1"/>
  <c r="D382" i="1"/>
  <c r="E382" i="1"/>
  <c r="F382" i="1"/>
  <c r="C364" i="1"/>
  <c r="D364" i="1"/>
  <c r="E364" i="1"/>
  <c r="F364" i="1"/>
  <c r="C356" i="1"/>
  <c r="D356" i="1"/>
  <c r="E356" i="1"/>
  <c r="E197" i="1" s="1"/>
  <c r="C342" i="1"/>
  <c r="D342" i="1"/>
  <c r="F342" i="1"/>
  <c r="C334" i="1"/>
  <c r="D334" i="1"/>
  <c r="F334" i="1"/>
  <c r="C331" i="1"/>
  <c r="D331" i="1"/>
  <c r="F331" i="1"/>
  <c r="C317" i="1"/>
  <c r="D317" i="1"/>
  <c r="F317" i="1"/>
  <c r="C315" i="1"/>
  <c r="D315" i="1"/>
  <c r="F315" i="1"/>
  <c r="C302" i="1"/>
  <c r="D302" i="1"/>
  <c r="F302" i="1"/>
  <c r="C292" i="1"/>
  <c r="D292" i="1"/>
  <c r="F292" i="1"/>
  <c r="C282" i="1"/>
  <c r="D282" i="1"/>
  <c r="F282" i="1"/>
  <c r="C271" i="1"/>
  <c r="D271" i="1"/>
  <c r="F271" i="1"/>
  <c r="C259" i="1"/>
  <c r="D259" i="1"/>
  <c r="F259" i="1"/>
  <c r="C248" i="1"/>
  <c r="D248" i="1"/>
  <c r="F248" i="1"/>
  <c r="C214" i="1"/>
  <c r="D214" i="1"/>
  <c r="F214" i="1"/>
  <c r="C183" i="1"/>
  <c r="D183" i="1"/>
  <c r="F183" i="1"/>
  <c r="C171" i="1"/>
  <c r="D171" i="1"/>
  <c r="F171" i="1"/>
  <c r="C169" i="1"/>
  <c r="D169" i="1"/>
  <c r="F169" i="1"/>
  <c r="C164" i="1"/>
  <c r="D164" i="1"/>
  <c r="F164" i="1"/>
  <c r="C161" i="1"/>
  <c r="D161" i="1"/>
  <c r="F161" i="1"/>
  <c r="C146" i="1"/>
  <c r="D146" i="1"/>
  <c r="F146" i="1"/>
  <c r="C141" i="1"/>
  <c r="D141" i="1"/>
  <c r="F141" i="1"/>
  <c r="C135" i="1"/>
  <c r="D135" i="1"/>
  <c r="F135" i="1"/>
  <c r="C125" i="1"/>
  <c r="D125" i="1"/>
  <c r="F125" i="1"/>
  <c r="C122" i="1"/>
  <c r="D122" i="1"/>
  <c r="F122" i="1"/>
  <c r="C111" i="1"/>
  <c r="D111" i="1"/>
  <c r="F111" i="1"/>
  <c r="C104" i="1"/>
  <c r="D104" i="1"/>
  <c r="F104" i="1"/>
  <c r="F94" i="1"/>
  <c r="D94" i="1"/>
  <c r="C94" i="1"/>
  <c r="C87" i="1"/>
  <c r="D87" i="1"/>
  <c r="F87" i="1"/>
  <c r="C85" i="1"/>
  <c r="D85" i="1"/>
  <c r="F85" i="1"/>
  <c r="C63" i="1"/>
  <c r="D63" i="1"/>
  <c r="C46" i="1"/>
  <c r="D46" i="1"/>
  <c r="E46" i="1"/>
  <c r="F46" i="1"/>
  <c r="C26" i="1"/>
  <c r="C25" i="1" s="1"/>
  <c r="C23" i="1" s="1"/>
  <c r="D26" i="1"/>
  <c r="D25" i="1" s="1"/>
  <c r="D23" i="1" s="1"/>
  <c r="E26" i="1"/>
  <c r="E25" i="1" s="1"/>
  <c r="E23" i="1" s="1"/>
  <c r="F26" i="1"/>
  <c r="F25" i="1" s="1"/>
  <c r="F23" i="1" s="1"/>
  <c r="D17" i="1"/>
  <c r="E17" i="1"/>
  <c r="C10" i="1"/>
  <c r="D10" i="1"/>
  <c r="E10" i="1"/>
  <c r="F10" i="1"/>
  <c r="C4" i="1"/>
  <c r="D4" i="1"/>
  <c r="F623" i="1"/>
  <c r="E623" i="1"/>
  <c r="F613" i="1"/>
  <c r="E613" i="1"/>
  <c r="F602" i="1"/>
  <c r="F586" i="1"/>
  <c r="F558" i="1"/>
  <c r="F554" i="1"/>
  <c r="E554" i="1"/>
  <c r="F525" i="1"/>
  <c r="E525" i="1"/>
  <c r="F522" i="1"/>
  <c r="E522" i="1"/>
  <c r="F518" i="1"/>
  <c r="E518" i="1"/>
  <c r="F494" i="1"/>
  <c r="E494" i="1"/>
  <c r="F492" i="1"/>
  <c r="E492" i="1"/>
  <c r="F479" i="1"/>
  <c r="E479" i="1"/>
  <c r="F477" i="1"/>
  <c r="E477" i="1"/>
  <c r="F472" i="1"/>
  <c r="F470" i="1"/>
  <c r="E470" i="1"/>
  <c r="A314" i="1"/>
  <c r="A313" i="1"/>
  <c r="A311" i="1"/>
  <c r="A310" i="1"/>
  <c r="A309" i="1"/>
  <c r="A308" i="1"/>
  <c r="F4" i="1"/>
  <c r="F197" i="1" l="1"/>
  <c r="C197" i="1"/>
  <c r="D197" i="1"/>
  <c r="F54" i="1"/>
  <c r="F140" i="1"/>
  <c r="F121" i="1"/>
  <c r="F481" i="1"/>
  <c r="D140" i="1"/>
  <c r="D121" i="1"/>
  <c r="D481" i="1"/>
  <c r="E481" i="1"/>
  <c r="F103" i="1"/>
  <c r="C103" i="1"/>
  <c r="F553" i="1"/>
  <c r="C553" i="1"/>
  <c r="E553" i="1"/>
  <c r="C481" i="1"/>
  <c r="D103" i="1"/>
  <c r="D553" i="1"/>
  <c r="D363" i="1"/>
  <c r="C363" i="1"/>
  <c r="C140" i="1"/>
  <c r="C160" i="1"/>
  <c r="C121" i="1"/>
  <c r="D54" i="1"/>
  <c r="C54" i="1"/>
  <c r="E363" i="1"/>
  <c r="F363" i="1"/>
  <c r="F8" i="1"/>
  <c r="F3" i="1" s="1"/>
  <c r="E8" i="1"/>
  <c r="D8" i="1"/>
  <c r="D3" i="1" s="1"/>
  <c r="C8" i="1"/>
  <c r="C3" i="1" s="1"/>
  <c r="D160" i="1"/>
  <c r="F160" i="1"/>
  <c r="F53" i="1" l="1"/>
  <c r="F549" i="1" s="1"/>
  <c r="F619" i="1" s="1"/>
  <c r="C53" i="1"/>
  <c r="C549" i="1" s="1"/>
  <c r="C619" i="1" s="1"/>
  <c r="C630" i="1" s="1"/>
  <c r="D53" i="1"/>
  <c r="D549" i="1" s="1"/>
  <c r="D619" i="1" s="1"/>
  <c r="D628" i="1" s="1"/>
  <c r="D630" i="1" s="1"/>
  <c r="F628" i="1" l="1"/>
  <c r="F630" i="1" s="1"/>
  <c r="E54" i="1" l="1"/>
  <c r="E53" i="1" l="1"/>
  <c r="E4" i="1"/>
  <c r="E3" i="1" s="1"/>
  <c r="E549" i="1" l="1"/>
  <c r="E619" i="1" s="1"/>
  <c r="E6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Maarja Kuuskla</author>
    <author>Sirje Laigu</author>
  </authors>
  <commentList>
    <comment ref="D5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11,60%
</t>
        </r>
      </text>
    </comment>
    <comment ref="H243" authorId="1" shapeId="0" xr:uid="{FFDF1CE0-B54A-40C6-85EB-04CE1F05ACC9}">
      <text>
        <r>
          <rPr>
            <b/>
            <sz val="9"/>
            <color indexed="81"/>
            <rFont val="Segoe UI"/>
            <family val="2"/>
            <charset val="186"/>
          </rPr>
          <t>Sirje Laigu:</t>
        </r>
        <r>
          <rPr>
            <sz val="9"/>
            <color indexed="81"/>
            <rFont val="Segoe UI"/>
            <family val="2"/>
            <charset val="186"/>
          </rPr>
          <t xml:space="preserve">
2019 lisaeelarvega lisatud</t>
        </r>
      </text>
    </comment>
    <comment ref="H246" authorId="1" shapeId="0" xr:uid="{D99871D6-1B43-44D8-ABC7-D1D84A8E4A7A}">
      <text>
        <r>
          <rPr>
            <b/>
            <sz val="9"/>
            <color indexed="81"/>
            <rFont val="Segoe UI"/>
            <family val="2"/>
            <charset val="186"/>
          </rPr>
          <t>Sirje Laigu:</t>
        </r>
        <r>
          <rPr>
            <sz val="9"/>
            <color indexed="81"/>
            <rFont val="Segoe UI"/>
            <family val="2"/>
            <charset val="186"/>
          </rPr>
          <t xml:space="preserve">
2019 lisaeelarvega lisatud (13000+4000)</t>
        </r>
      </text>
    </comment>
    <comment ref="F332" authorId="0" shapeId="0" xr:uid="{00000000-0006-0000-0100-000006000000}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puurkaev 3312€
</t>
        </r>
      </text>
    </comment>
  </commentList>
</comments>
</file>

<file path=xl/sharedStrings.xml><?xml version="1.0" encoding="utf-8"?>
<sst xmlns="http://schemas.openxmlformats.org/spreadsheetml/2006/main" count="871" uniqueCount="420">
  <si>
    <t>Tulu/kulu liik</t>
  </si>
  <si>
    <t>Kirje nimetus</t>
  </si>
  <si>
    <t>2018.a. täitmine</t>
  </si>
  <si>
    <t>2019.a.eelarve</t>
  </si>
  <si>
    <t>2020.a. eelarve projekt</t>
  </si>
  <si>
    <t>Põhitegevuse tulud kokku</t>
  </si>
  <si>
    <t>Maksutulud</t>
  </si>
  <si>
    <t>sh füüsilise isiku tulumaks</t>
  </si>
  <si>
    <t>sh maamaks</t>
  </si>
  <si>
    <t>sh reklaamimaks</t>
  </si>
  <si>
    <t>Tulud kaupade ja teenuste müügist</t>
  </si>
  <si>
    <t>Saadavad toetused tegevuskuludeks</t>
  </si>
  <si>
    <t>sh tasandusfond</t>
  </si>
  <si>
    <t>sh toetusfond</t>
  </si>
  <si>
    <t>sh sihtotstarbelised toetused tegevuskuludeks</t>
  </si>
  <si>
    <t>Muud tegevustulud</t>
  </si>
  <si>
    <t>Põhitegevuse kulud kokku</t>
  </si>
  <si>
    <t>Antavad toetused tegevuskuludeks</t>
  </si>
  <si>
    <t>Muud tegevuskulud</t>
  </si>
  <si>
    <t>sh tööjõukulud</t>
  </si>
  <si>
    <t>sh majandamiskulud</t>
  </si>
  <si>
    <t>sh muud kulud</t>
  </si>
  <si>
    <t>Põhitegevuse tulem</t>
  </si>
  <si>
    <t>Investeerimistegevus kokku</t>
  </si>
  <si>
    <t>Põhivara müük (+)</t>
  </si>
  <si>
    <t>Põhivara soetus (-)</t>
  </si>
  <si>
    <t>Osaluse soetus (-)</t>
  </si>
  <si>
    <t>Põhivara soetuseks saadav sihtfinantseerimine (+)</t>
  </si>
  <si>
    <t>Põhivara soetuseks antav sihtfinantseerimine (-)</t>
  </si>
  <si>
    <t>Finantstulud (+)</t>
  </si>
  <si>
    <t>Finantskulud (-)</t>
  </si>
  <si>
    <t>Eelarve tulem: (ülejääk (+) / puudujääk (-)</t>
  </si>
  <si>
    <t>Finantseerimistegevus</t>
  </si>
  <si>
    <t>Kohustuste võtmine (+)</t>
  </si>
  <si>
    <t>2586</t>
  </si>
  <si>
    <t>Kohustuste tasumine (-)</t>
  </si>
  <si>
    <t>Likviidsete varade muutus (+ suurenemine, - vähenemine )</t>
  </si>
  <si>
    <t>Kirjeldus</t>
  </si>
  <si>
    <t>2016.a. eelarve täitmine Haljala</t>
  </si>
  <si>
    <t>2016.a. eelarve täitmine Vihula</t>
  </si>
  <si>
    <t>2017.a. eelarve täitmine Haljala</t>
  </si>
  <si>
    <t>2017.a. eelarve täitmine Vihula</t>
  </si>
  <si>
    <t xml:space="preserve">2018.a. eelarve täitmine             </t>
  </si>
  <si>
    <t xml:space="preserve">2019.a. muudetud eelarve </t>
  </si>
  <si>
    <t>2019 eeldatav täitmine 06.01.2020 seisuga</t>
  </si>
  <si>
    <t>2020 a projekt</t>
  </si>
  <si>
    <t>PÕHITEGEVUSE TULUD</t>
  </si>
  <si>
    <t>TULUD KOKKU</t>
  </si>
  <si>
    <t>ok</t>
  </si>
  <si>
    <t>MAKSUTULUD</t>
  </si>
  <si>
    <t>Füüsilise isiku tulumaks</t>
  </si>
  <si>
    <t>Maamaks</t>
  </si>
  <si>
    <t>Reklaamimaks</t>
  </si>
  <si>
    <t>TULUD KAUPADE JA TEENUSTE MÜÜGIST</t>
  </si>
  <si>
    <t>Riigilõivud</t>
  </si>
  <si>
    <t>Tulud majandustegevusest</t>
  </si>
  <si>
    <t>Tulud haridusalasest tegevusest</t>
  </si>
  <si>
    <t>Tulud kultuuri- ja kunstialasest tegevusest</t>
  </si>
  <si>
    <t>Tulud spordi- ja puhkealasest tegevusest</t>
  </si>
  <si>
    <t>Tulud sotsiaalabialasest tegevusest</t>
  </si>
  <si>
    <t>Elamu- ja kommunaaltegevuse tulud</t>
  </si>
  <si>
    <t>Üldvalitsemise tulud</t>
  </si>
  <si>
    <t>Muu kaupade ja teenuste müügist</t>
  </si>
  <si>
    <t>Tulud transpordi- ja sidealasest tegevusest</t>
  </si>
  <si>
    <t>Tulud muudelt majandusaladelt</t>
  </si>
  <si>
    <t>Üür ja rent</t>
  </si>
  <si>
    <t>Õiguste müük</t>
  </si>
  <si>
    <t>Muu kaupade ja teenuste müük</t>
  </si>
  <si>
    <t>SAADAVAD TOETUSED TEGEVUSKULUDEKS</t>
  </si>
  <si>
    <t>Tegevuskuludeks saadud sihtfinantseerimine</t>
  </si>
  <si>
    <t>Saadud tegevustoetused</t>
  </si>
  <si>
    <t>Toetusfond</t>
  </si>
  <si>
    <t>Põhikooli õpetajate tööjõukuludeks</t>
  </si>
  <si>
    <t>Gümnaasiumi õpetajate tööjõukuludeks</t>
  </si>
  <si>
    <t>Direktorite ja õppealajuhatajate tööjõukuludeks</t>
  </si>
  <si>
    <t>Õpetajate, direktorite ja õppealajuhatajate täienduskoolituseks</t>
  </si>
  <si>
    <t>Õppekirjanduseks</t>
  </si>
  <si>
    <t>Koolilõunaks</t>
  </si>
  <si>
    <r>
      <t xml:space="preserve">Tõhustatud ja eritoe </t>
    </r>
    <r>
      <rPr>
        <b/>
        <i/>
        <sz val="8"/>
        <rFont val="Times New Roman"/>
        <family val="1"/>
        <charset val="186"/>
      </rPr>
      <t>tegevuskuludeks</t>
    </r>
  </si>
  <si>
    <t>Koolieelsete lasteasutuste õpetajate tööjõukulude toetus</t>
  </si>
  <si>
    <t>Raske ja sügava puudega lastele abi osutamise toetus</t>
  </si>
  <si>
    <t>Huvihariduse ja -tegevuse toetus</t>
  </si>
  <si>
    <t>Toimetulekutoetuse maksmise hüvitis</t>
  </si>
  <si>
    <t>Vajaduspõhise peretoetuse maksmise hüvitis</t>
  </si>
  <si>
    <t>Sotsiaaltoetuste ja -teenuste osutamise toetus</t>
  </si>
  <si>
    <t>Matusetoetus</t>
  </si>
  <si>
    <t>Asendus- ja järelhooldusteenuse toetus</t>
  </si>
  <si>
    <t>Rahvastikutoimingute kulude hüvitis</t>
  </si>
  <si>
    <t>Jäätmehoolduse arendamise toetus</t>
  </si>
  <si>
    <t>Kohalike teede hoiu toetus</t>
  </si>
  <si>
    <t>Tasandusfond</t>
  </si>
  <si>
    <t>MUUD TEGEVUSTULUD</t>
  </si>
  <si>
    <t>Vee-erikasutuse tasudest</t>
  </si>
  <si>
    <t>Muud tulud</t>
  </si>
  <si>
    <t>2016 Haljala eelarve täitmine</t>
  </si>
  <si>
    <t>2016 Vihula eelarve täitmine</t>
  </si>
  <si>
    <t>2017 Haljala eelarve täitmine</t>
  </si>
  <si>
    <t>2017 Vihula eelarve täitmine</t>
  </si>
  <si>
    <t>2018.a. eelarve täitmine</t>
  </si>
  <si>
    <t>2019.a. eelarve eeldatav täitmine</t>
  </si>
  <si>
    <t/>
  </si>
  <si>
    <t>PÕHITEGEVUSE KULUD TEGEVUSALADE JÄRGI</t>
  </si>
  <si>
    <t>KULUD KOKKU</t>
  </si>
  <si>
    <t>01</t>
  </si>
  <si>
    <t>ÜLDISED VALITSUSSEKTORI TEENUSED</t>
  </si>
  <si>
    <t>01111</t>
  </si>
  <si>
    <t>Valla- ja linnavolikogu</t>
  </si>
  <si>
    <t>Valitavate ja ametisse nimetatavate ametnike töötasu</t>
  </si>
  <si>
    <t>Personalikuludega kaasnevad maksud</t>
  </si>
  <si>
    <t>Administreerimiskulud</t>
  </si>
  <si>
    <t>Uurimis- ja arendustööd</t>
  </si>
  <si>
    <t>Koolituskulud</t>
  </si>
  <si>
    <t>Sõidukite ülalpidamise kulud</t>
  </si>
  <si>
    <t>Info- ja kommunikatsioonitehnoloogia kulud</t>
  </si>
  <si>
    <t>01112</t>
  </si>
  <si>
    <t>Valla- ja linnavalitsus</t>
  </si>
  <si>
    <t>Antud sihtfinantseerimine tegevuskuludeks</t>
  </si>
  <si>
    <t>5000.03</t>
  </si>
  <si>
    <t>Juhifond (1%)</t>
  </si>
  <si>
    <t>Avaliku teenistuse ametnike töötasu</t>
  </si>
  <si>
    <t>5001.03</t>
  </si>
  <si>
    <t>Töötajate töötasu</t>
  </si>
  <si>
    <t>5002.03</t>
  </si>
  <si>
    <t>Töötasud võlaõiguslike lepingute alusel</t>
  </si>
  <si>
    <t>Lähetuskulud</t>
  </si>
  <si>
    <t>Kinnistute, hoonete, ruumide majandamiskulud</t>
  </si>
  <si>
    <t>Inventari majandamiskulud</t>
  </si>
  <si>
    <t>Meditsiini- ja hügieenikulud</t>
  </si>
  <si>
    <t>Muu erivarustus ja erimaterjalid</t>
  </si>
  <si>
    <t>Mitmesugused majandamiskulud</t>
  </si>
  <si>
    <t>Maksud, lõivud, trahvid (tegevuskulud)</t>
  </si>
  <si>
    <t>01114</t>
  </si>
  <si>
    <t>Reservfond</t>
  </si>
  <si>
    <t>01320</t>
  </si>
  <si>
    <t>Planeerimis- ja statistikateenused</t>
  </si>
  <si>
    <t>Uurimis- ja arendamistööd</t>
  </si>
  <si>
    <t>01330</t>
  </si>
  <si>
    <t>Vallavolikogu valimised</t>
  </si>
  <si>
    <t>01600</t>
  </si>
  <si>
    <t>Muud üldised valitsussektori teenused</t>
  </si>
  <si>
    <t>Antud tegevustoetused</t>
  </si>
  <si>
    <t>Liikmemaksud</t>
  </si>
  <si>
    <t>03</t>
  </si>
  <si>
    <t>AVALIK KORD JA JULGEOLEK</t>
  </si>
  <si>
    <t>03100</t>
  </si>
  <si>
    <t>Politsei</t>
  </si>
  <si>
    <t>Toiduained ja toitlustusteenused</t>
  </si>
  <si>
    <t>03200</t>
  </si>
  <si>
    <t>Päästeteenused</t>
  </si>
  <si>
    <t>Rajatiste majandamiskulud</t>
  </si>
  <si>
    <t>Eri- ja vormiriietus</t>
  </si>
  <si>
    <t>04</t>
  </si>
  <si>
    <t>MAJANDUS</t>
  </si>
  <si>
    <t>04210</t>
  </si>
  <si>
    <t>Maakorraldus</t>
  </si>
  <si>
    <t>04230</t>
  </si>
  <si>
    <t>Kalandus ja jahindus</t>
  </si>
  <si>
    <t>04510</t>
  </si>
  <si>
    <t>Valla teed ja tänavad</t>
  </si>
  <si>
    <t>04520</t>
  </si>
  <si>
    <t>Veetransport</t>
  </si>
  <si>
    <t>Antud sihtfinantseering tegevuskuludeks</t>
  </si>
  <si>
    <t>04900</t>
  </si>
  <si>
    <t>Planeeringud</t>
  </si>
  <si>
    <t>4500</t>
  </si>
  <si>
    <t>5502</t>
  </si>
  <si>
    <t>05</t>
  </si>
  <si>
    <t>KESKKONNAKAITSE</t>
  </si>
  <si>
    <t>05100</t>
  </si>
  <si>
    <t>Jäätmekäitlus</t>
  </si>
  <si>
    <t>05101</t>
  </si>
  <si>
    <t>Avalike alade puhastus</t>
  </si>
  <si>
    <t>Töötajate töötasud</t>
  </si>
  <si>
    <t>Meditsiini- ja  hügieenikulud</t>
  </si>
  <si>
    <t>05400</t>
  </si>
  <si>
    <t>Rand</t>
  </si>
  <si>
    <t>06</t>
  </si>
  <si>
    <t>ELAMU- JA KOMMUNAALMAJANDUS</t>
  </si>
  <si>
    <t>06100</t>
  </si>
  <si>
    <t>Elamumajanduse arendamine</t>
  </si>
  <si>
    <t>06300</t>
  </si>
  <si>
    <t>Veevarustus</t>
  </si>
  <si>
    <t>06400</t>
  </si>
  <si>
    <t>Tänavavalgustus</t>
  </si>
  <si>
    <t>06605.1</t>
  </si>
  <si>
    <t>Elamu- ja kommunaalmajanduse haldamine</t>
  </si>
  <si>
    <t>06605.2</t>
  </si>
  <si>
    <t>Kalmistud</t>
  </si>
  <si>
    <t>06605.3</t>
  </si>
  <si>
    <t>Hulkuvate loomadega seotud tegevus</t>
  </si>
  <si>
    <t>07</t>
  </si>
  <si>
    <t>TERVISHOID</t>
  </si>
  <si>
    <t>07600</t>
  </si>
  <si>
    <t>Üldhaigla teenused</t>
  </si>
  <si>
    <t>08</t>
  </si>
  <si>
    <t>VABA AEG, KULTUUR, RELIGIOON</t>
  </si>
  <si>
    <t>08102</t>
  </si>
  <si>
    <t>Haljala Spordikeskus</t>
  </si>
  <si>
    <t>Muud tasud</t>
  </si>
  <si>
    <t>Kommunikatsiooni, kultuuri ja vaba aja sisustamine</t>
  </si>
  <si>
    <t>Haljala noortekeskus</t>
  </si>
  <si>
    <t>Meditsiinikulud</t>
  </si>
  <si>
    <t>Õppevahendite ja koolituse kulud</t>
  </si>
  <si>
    <t>Võsu noortekeskus</t>
  </si>
  <si>
    <t>08109</t>
  </si>
  <si>
    <t>Vaba aja üritused</t>
  </si>
  <si>
    <t>Muud autasud</t>
  </si>
  <si>
    <t>Muu erivarustus ja –materjalid</t>
  </si>
  <si>
    <t>08201.1</t>
  </si>
  <si>
    <t>Karepa raamatukogu</t>
  </si>
  <si>
    <t>Teavikute ja kunstiesemete kulud</t>
  </si>
  <si>
    <t>08201.2</t>
  </si>
  <si>
    <t>Võsu raamatukogu</t>
  </si>
  <si>
    <t>08201.3</t>
  </si>
  <si>
    <t>Vihula raamatukogu</t>
  </si>
  <si>
    <t>08201.4</t>
  </si>
  <si>
    <t>Vergi raamatukogu</t>
  </si>
  <si>
    <t>08201.5</t>
  </si>
  <si>
    <t>Võsupere raamatukogu</t>
  </si>
  <si>
    <t>Haljala Vallaraamatukogu</t>
  </si>
  <si>
    <t>Boonused, juhifond (2%)</t>
  </si>
  <si>
    <t>5522</t>
  </si>
  <si>
    <t>08202.1</t>
  </si>
  <si>
    <t>Käsmu rahvamaja</t>
  </si>
  <si>
    <t>08202.2</t>
  </si>
  <si>
    <t>Haljala rahvamaja</t>
  </si>
  <si>
    <t>5002</t>
  </si>
  <si>
    <t>Juhifond (2%)</t>
  </si>
  <si>
    <t>5005</t>
  </si>
  <si>
    <t>506</t>
  </si>
  <si>
    <t>5500</t>
  </si>
  <si>
    <t>5503</t>
  </si>
  <si>
    <t>5504</t>
  </si>
  <si>
    <t>5511</t>
  </si>
  <si>
    <t>5513</t>
  </si>
  <si>
    <t>5514</t>
  </si>
  <si>
    <t>5515</t>
  </si>
  <si>
    <t>Meditsiini- ja hügieenitarbed</t>
  </si>
  <si>
    <t>5525</t>
  </si>
  <si>
    <t>08202.3</t>
  </si>
  <si>
    <t>Võhma rahvamaja</t>
  </si>
  <si>
    <t>08202.4</t>
  </si>
  <si>
    <t>Võsu Rannaklubi</t>
  </si>
  <si>
    <t>08202.5</t>
  </si>
  <si>
    <t>Rahvakultuur</t>
  </si>
  <si>
    <t>08203</t>
  </si>
  <si>
    <t>Kihelkonnaraamat</t>
  </si>
  <si>
    <t>08208</t>
  </si>
  <si>
    <t>Kultuuripreemia, fotopreemia</t>
  </si>
  <si>
    <t>viidud TA 08109 alla</t>
  </si>
  <si>
    <t>08212</t>
  </si>
  <si>
    <t>Kihelkonnapäevad</t>
  </si>
  <si>
    <t>Kultuuri- ja vaba aja sisustamine</t>
  </si>
  <si>
    <t>08300</t>
  </si>
  <si>
    <t>Valla ajaleht</t>
  </si>
  <si>
    <t>08600</t>
  </si>
  <si>
    <t>Muu vaba aeg, kultuur, religioon</t>
  </si>
  <si>
    <t>09</t>
  </si>
  <si>
    <t>HARIDUS</t>
  </si>
  <si>
    <t>09110.1</t>
  </si>
  <si>
    <t>Haljala lasteaed</t>
  </si>
  <si>
    <t xml:space="preserve"> Juhifond (2%)</t>
  </si>
  <si>
    <t>09110.2</t>
  </si>
  <si>
    <t>Võsu lasteaiarühmad</t>
  </si>
  <si>
    <t>09110.3</t>
  </si>
  <si>
    <t>Võsupere lasteaiarühm</t>
  </si>
  <si>
    <t>09110.4</t>
  </si>
  <si>
    <t>Vihula lasteaiarühm</t>
  </si>
  <si>
    <t>09110.5</t>
  </si>
  <si>
    <t>Lasteaiateenus</t>
  </si>
  <si>
    <t>09212.1</t>
  </si>
  <si>
    <t>Haljala kool</t>
  </si>
  <si>
    <t>09212.2</t>
  </si>
  <si>
    <t>Võsu Kool</t>
  </si>
  <si>
    <t>0921203</t>
  </si>
  <si>
    <t>Õpilaskohad</t>
  </si>
  <si>
    <t>09510</t>
  </si>
  <si>
    <t>Noorte huviharidus ja huvitegevus</t>
  </si>
  <si>
    <t>09600</t>
  </si>
  <si>
    <t>Koolitransport</t>
  </si>
  <si>
    <t>09601</t>
  </si>
  <si>
    <t>Koolitoit</t>
  </si>
  <si>
    <t>10</t>
  </si>
  <si>
    <t>SOTSIAALNE KAITSE</t>
  </si>
  <si>
    <t>10121</t>
  </si>
  <si>
    <t>Muu puuetega inimeste sotsiaalne kaitse</t>
  </si>
  <si>
    <t>Toetused puudega inimestele ja nende hooldajatele</t>
  </si>
  <si>
    <t>Erijuhtudel riigi poolt makstavad maksud</t>
  </si>
  <si>
    <t>Muud sotsaalabiteenused</t>
  </si>
  <si>
    <t>Sotsiaalteenused</t>
  </si>
  <si>
    <t>Hooldekodud</t>
  </si>
  <si>
    <t>10201</t>
  </si>
  <si>
    <t>Muu eakate sotsiaalne kaitse/Päevakeskus</t>
  </si>
  <si>
    <t>Muu tasud</t>
  </si>
  <si>
    <t>Asendus- ja järelhooldus</t>
  </si>
  <si>
    <t>10402</t>
  </si>
  <si>
    <t>Muu perekondade ja laste sotsiaalne kaitse</t>
  </si>
  <si>
    <t>Peretoetused</t>
  </si>
  <si>
    <t>Õppetoetused</t>
  </si>
  <si>
    <t>10500</t>
  </si>
  <si>
    <t>Töötute sotsiaalne kaitse</t>
  </si>
  <si>
    <t>Toetused töötule</t>
  </si>
  <si>
    <t>10600</t>
  </si>
  <si>
    <t>Eluasemeteenused sotsiaalsetele riskirühmadele</t>
  </si>
  <si>
    <t>10701</t>
  </si>
  <si>
    <t>Riiklik toimetulekutoetus</t>
  </si>
  <si>
    <t>Toimetulekutoetus ja täiendavad sotsiaalteenused</t>
  </si>
  <si>
    <t>1070102</t>
  </si>
  <si>
    <t>Lapsehoiuteenus</t>
  </si>
  <si>
    <t>1070103</t>
  </si>
  <si>
    <t>Sotsiaalteenuste arendamine</t>
  </si>
  <si>
    <t>1070104</t>
  </si>
  <si>
    <t>Vajaduspõhine peretoetus</t>
  </si>
  <si>
    <t>Ühekordsed sotsiaaltoetused</t>
  </si>
  <si>
    <t>Antud sihtfinantseerging tegevuskuludeks</t>
  </si>
  <si>
    <t>Muud töötasud</t>
  </si>
  <si>
    <t>10900</t>
  </si>
  <si>
    <t>Muu sotsiaalne kaitse, sh. sotsiaalse kaitse haldus</t>
  </si>
  <si>
    <t>KAASAV EELARVE</t>
  </si>
  <si>
    <t>PÕHITEGEVUSE TULEM</t>
  </si>
  <si>
    <t>INVESTEERIMISTEHINGUD</t>
  </si>
  <si>
    <t>2016 Haljala eelarve täimine</t>
  </si>
  <si>
    <t>2016 Vihula eelarve täimine</t>
  </si>
  <si>
    <t>2017 Haljala eelarve täimine</t>
  </si>
  <si>
    <t>2019.a. muudetud  eelarve</t>
  </si>
  <si>
    <t>KOKKU</t>
  </si>
  <si>
    <t>Põhivara müük</t>
  </si>
  <si>
    <t>Maa müük</t>
  </si>
  <si>
    <t>Hoonete müük</t>
  </si>
  <si>
    <t>Masinate ja seadmete müük</t>
  </si>
  <si>
    <t>Põhivara soetus</t>
  </si>
  <si>
    <t>Haljala Tallinna mnt kergliiklustee</t>
  </si>
  <si>
    <t>Võsu Mere tn kaasajastamine</t>
  </si>
  <si>
    <t>Rand, liiva sõelumise masin</t>
  </si>
  <si>
    <t>Võsu Spordihoone</t>
  </si>
  <si>
    <t>Köstrimaja ümberehitus raamatukoguks</t>
  </si>
  <si>
    <t xml:space="preserve">Haljala Kooli õppehoone </t>
  </si>
  <si>
    <t>Sotsiaalmaja remont</t>
  </si>
  <si>
    <t>Haljala valla tänavavalgustuse uuendamine</t>
  </si>
  <si>
    <t>Rahvamajade renoveerimine</t>
  </si>
  <si>
    <t>08202</t>
  </si>
  <si>
    <t>Haljala aleviku rekreatsiooniala arendamine</t>
  </si>
  <si>
    <t>Kogukonnamaja</t>
  </si>
  <si>
    <t>Võsu rannaprojekt</t>
  </si>
  <si>
    <t>Võsu sadamahoone sisustus</t>
  </si>
  <si>
    <t>Võsu-Käsmu jalg- ja jalgrattatee</t>
  </si>
  <si>
    <t>0660501</t>
  </si>
  <si>
    <t>Võsu bussijaama WC-d</t>
  </si>
  <si>
    <t>Muru raider</t>
  </si>
  <si>
    <t>07210</t>
  </si>
  <si>
    <t>Võsu perearstikeskus-raamatukogu</t>
  </si>
  <si>
    <t>Võsu raamatukogu Mere tn 6 ja vallamaja remont</t>
  </si>
  <si>
    <t>Võsu perearstikeskus</t>
  </si>
  <si>
    <t>0921202</t>
  </si>
  <si>
    <t>Võsu kooli staadion</t>
  </si>
  <si>
    <t>Võsu koolimaja projekt</t>
  </si>
  <si>
    <t>0820204</t>
  </si>
  <si>
    <t xml:space="preserve">Võsu Rannaklubi </t>
  </si>
  <si>
    <t>0911002</t>
  </si>
  <si>
    <t>Võsu lasteaia põrand</t>
  </si>
  <si>
    <t>0911004</t>
  </si>
  <si>
    <t>Vihula lasteaia rekonstrueerimine</t>
  </si>
  <si>
    <t>3502</t>
  </si>
  <si>
    <t>Põhivara soetuseks saadav sihtfinantseerimine</t>
  </si>
  <si>
    <t>Võsu-Käsmu jalg- ja jalgrattatee (EAS)</t>
  </si>
  <si>
    <t>Vihula koolimaja renoveerimiseks (HTM)</t>
  </si>
  <si>
    <t>Projekt "500 kodu tuleohutuks"</t>
  </si>
  <si>
    <t>Ühinemistoetus</t>
  </si>
  <si>
    <t>Hajaasustus </t>
  </si>
  <si>
    <t>Võsu rannaprojekt (EAS)</t>
  </si>
  <si>
    <t>0921201</t>
  </si>
  <si>
    <t>Haljala Kooli õppehoone</t>
  </si>
  <si>
    <t>2017 saamata jäänud summad(Võsu sadamahoone sisustamine)</t>
  </si>
  <si>
    <t>Põhivara soetuseks antav sihtfinantseerimine</t>
  </si>
  <si>
    <t>Võsu Sadam MTÜ</t>
  </si>
  <si>
    <t>MTÜde investeeringutoetused</t>
  </si>
  <si>
    <t>AS Haljala soojus(rahvamaja trass)</t>
  </si>
  <si>
    <t>Hajaasustus</t>
  </si>
  <si>
    <t>OÜ Vihula Valla Veevärk -Käsmu(2017) ja Võsupere(2018) veetöötlusjaam</t>
  </si>
  <si>
    <t>Võhma Rahvamaja väikese saali remondiks</t>
  </si>
  <si>
    <t>Tõrremäe -Veltsi -Haljala kergliiklustee ehitamise toetus</t>
  </si>
  <si>
    <t>Haljala kirik</t>
  </si>
  <si>
    <t>1502</t>
  </si>
  <si>
    <t>Osaluse müük</t>
  </si>
  <si>
    <t>Osaluste soetus</t>
  </si>
  <si>
    <t>AS Haljala soojus</t>
  </si>
  <si>
    <t>Finantstkulud</t>
  </si>
  <si>
    <t>Finantstulud</t>
  </si>
  <si>
    <t>EELARVE TULEM</t>
  </si>
  <si>
    <t>FINANTSEERIMISTEGEVUS KOKKU</t>
  </si>
  <si>
    <t xml:space="preserve">2019.a. eelarve </t>
  </si>
  <si>
    <t>2020 ea projekt</t>
  </si>
  <si>
    <t>nõuete kohustuste saldo muutus</t>
  </si>
  <si>
    <t>LIKVIIDSETE VARAD MUUTUS</t>
  </si>
  <si>
    <t>VABA JÄÄK PERIOODI ALGUSES</t>
  </si>
  <si>
    <t>VABA JÄÄK PERIOODI LÕPUS</t>
  </si>
  <si>
    <t>reservfondi kasutus 2019 aastal</t>
  </si>
  <si>
    <t>palgakorralduse alusel makstavad toetused (sünd,surm, tööjuubelid)</t>
  </si>
  <si>
    <t>tunnustus-rahalisedpreemiad- taidluskollektiivide juhendajatele (4*200)</t>
  </si>
  <si>
    <t>Juristi koondamine</t>
  </si>
  <si>
    <t>kokku</t>
  </si>
  <si>
    <t>LIIKMEMAKSUD</t>
  </si>
  <si>
    <t>2020 aasta</t>
  </si>
  <si>
    <t>VIROL</t>
  </si>
  <si>
    <t>?</t>
  </si>
  <si>
    <t>VIROLi PATEE</t>
  </si>
  <si>
    <t>AS Rakvere Haigla</t>
  </si>
  <si>
    <t>MTÜ Rakvere Haigla</t>
  </si>
  <si>
    <t>MTÜ Arenduskoda</t>
  </si>
  <si>
    <t>MTÜ Partnerid</t>
  </si>
  <si>
    <t>MTÜ Rannakalurite Ühing</t>
  </si>
  <si>
    <t>ELVL</t>
  </si>
  <si>
    <t>Põhja-Eesti ÜTK</t>
  </si>
  <si>
    <t>Nõuete ja kohustuste muutus</t>
  </si>
  <si>
    <t>05401</t>
  </si>
  <si>
    <t>Haljala, Rakvere mnt 12 (perearstikeskus) katuse vahetus</t>
  </si>
  <si>
    <t>08201</t>
  </si>
  <si>
    <t>0820205</t>
  </si>
  <si>
    <t>Rand, vetelpääste paat</t>
  </si>
  <si>
    <t>lahkumishüvitis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</si>
</sst>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rgb="FF009900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0"/>
      <color rgb="FF00B0F0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00990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1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9"/>
      <color rgb="FF0070C0"/>
      <name val="Times New Roman"/>
      <family val="1"/>
      <charset val="186"/>
    </font>
    <font>
      <sz val="11"/>
      <color rgb="FF0070C0"/>
      <name val="Times New Roman"/>
      <family val="1"/>
      <charset val="186"/>
    </font>
    <font>
      <i/>
      <sz val="9"/>
      <color rgb="FFFF0000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rgb="FFFF0000"/>
      <name val="Times New Roman"/>
      <family val="1"/>
    </font>
    <font>
      <i/>
      <sz val="8"/>
      <color rgb="FFFF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i/>
      <sz val="9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i/>
      <sz val="8"/>
      <name val="Times New Roman"/>
      <family val="1"/>
    </font>
    <font>
      <sz val="8"/>
      <name val="Calibri"/>
      <family val="2"/>
      <charset val="186"/>
      <scheme val="minor"/>
    </font>
    <font>
      <sz val="11"/>
      <color theme="0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theme="0"/>
      <name val="Times New Roman"/>
      <family val="1"/>
      <charset val="186"/>
    </font>
    <font>
      <sz val="9"/>
      <color theme="0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b/>
      <i/>
      <sz val="9"/>
      <color theme="0"/>
      <name val="Times New Roman"/>
      <family val="1"/>
      <charset val="186"/>
    </font>
    <font>
      <i/>
      <sz val="9"/>
      <color theme="0"/>
      <name val="Times New Roman"/>
      <family val="1"/>
      <charset val="186"/>
    </font>
    <font>
      <b/>
      <i/>
      <sz val="11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z val="8"/>
      <color theme="0"/>
      <name val="Times New Roman"/>
      <family val="1"/>
      <charset val="186"/>
    </font>
    <font>
      <i/>
      <sz val="8"/>
      <color theme="0"/>
      <name val="Times New Roman"/>
      <family val="1"/>
      <charset val="186"/>
    </font>
    <font>
      <i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theme="0"/>
      <name val="Times New Roman"/>
      <family val="1"/>
    </font>
    <font>
      <i/>
      <sz val="11"/>
      <name val="Times New Roman"/>
      <family val="1"/>
      <charset val="186"/>
    </font>
    <font>
      <i/>
      <sz val="10"/>
      <color theme="0"/>
      <name val="Times New Roman"/>
      <family val="1"/>
      <charset val="186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38" fillId="0" borderId="0" applyFont="0" applyFill="0" applyBorder="0" applyAlignment="0" applyProtection="0"/>
  </cellStyleXfs>
  <cellXfs count="37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3" fontId="7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wrapText="1"/>
    </xf>
    <xf numFmtId="3" fontId="5" fillId="0" borderId="1" xfId="0" applyNumberFormat="1" applyFont="1" applyBorder="1"/>
    <xf numFmtId="3" fontId="1" fillId="0" borderId="1" xfId="0" applyNumberFormat="1" applyFont="1" applyBorder="1"/>
    <xf numFmtId="0" fontId="11" fillId="0" borderId="1" xfId="0" applyFont="1" applyBorder="1"/>
    <xf numFmtId="3" fontId="11" fillId="0" borderId="1" xfId="0" applyNumberFormat="1" applyFont="1" applyBorder="1"/>
    <xf numFmtId="49" fontId="5" fillId="3" borderId="1" xfId="0" applyNumberFormat="1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3" fontId="7" fillId="0" borderId="1" xfId="0" applyNumberFormat="1" applyFont="1" applyBorder="1"/>
    <xf numFmtId="49" fontId="5" fillId="4" borderId="1" xfId="0" applyNumberFormat="1" applyFont="1" applyFill="1" applyBorder="1"/>
    <xf numFmtId="0" fontId="5" fillId="4" borderId="1" xfId="0" applyFont="1" applyFill="1" applyBorder="1"/>
    <xf numFmtId="3" fontId="5" fillId="4" borderId="1" xfId="0" applyNumberFormat="1" applyFont="1" applyFill="1" applyBorder="1"/>
    <xf numFmtId="49" fontId="5" fillId="5" borderId="1" xfId="0" applyNumberFormat="1" applyFont="1" applyFill="1" applyBorder="1"/>
    <xf numFmtId="0" fontId="5" fillId="5" borderId="1" xfId="0" applyFont="1" applyFill="1" applyBorder="1"/>
    <xf numFmtId="3" fontId="5" fillId="5" borderId="1" xfId="0" applyNumberFormat="1" applyFont="1" applyFill="1" applyBorder="1"/>
    <xf numFmtId="49" fontId="5" fillId="6" borderId="1" xfId="0" applyNumberFormat="1" applyFont="1" applyFill="1" applyBorder="1"/>
    <xf numFmtId="0" fontId="5" fillId="6" borderId="1" xfId="0" applyFont="1" applyFill="1" applyBorder="1"/>
    <xf numFmtId="3" fontId="5" fillId="6" borderId="1" xfId="0" applyNumberFormat="1" applyFont="1" applyFill="1" applyBorder="1"/>
    <xf numFmtId="49" fontId="5" fillId="7" borderId="1" xfId="0" applyNumberFormat="1" applyFont="1" applyFill="1" applyBorder="1"/>
    <xf numFmtId="0" fontId="5" fillId="7" borderId="1" xfId="0" applyFont="1" applyFill="1" applyBorder="1"/>
    <xf numFmtId="3" fontId="5" fillId="7" borderId="1" xfId="0" applyNumberFormat="1" applyFont="1" applyFill="1" applyBorder="1"/>
    <xf numFmtId="49" fontId="5" fillId="8" borderId="1" xfId="0" applyNumberFormat="1" applyFont="1" applyFill="1" applyBorder="1"/>
    <xf numFmtId="0" fontId="5" fillId="8" borderId="1" xfId="0" applyFont="1" applyFill="1" applyBorder="1"/>
    <xf numFmtId="3" fontId="5" fillId="8" borderId="1" xfId="0" applyNumberFormat="1" applyFont="1" applyFill="1" applyBorder="1"/>
    <xf numFmtId="0" fontId="7" fillId="9" borderId="1" xfId="0" applyFont="1" applyFill="1" applyBorder="1"/>
    <xf numFmtId="3" fontId="7" fillId="9" borderId="1" xfId="0" applyNumberFormat="1" applyFont="1" applyFill="1" applyBorder="1"/>
    <xf numFmtId="49" fontId="7" fillId="0" borderId="1" xfId="0" applyNumberFormat="1" applyFont="1" applyBorder="1" applyAlignment="1">
      <alignment horizontal="right"/>
    </xf>
    <xf numFmtId="0" fontId="5" fillId="8" borderId="1" xfId="0" applyNumberFormat="1" applyFont="1" applyFill="1" applyBorder="1"/>
    <xf numFmtId="0" fontId="7" fillId="0" borderId="1" xfId="0" applyNumberFormat="1" applyFont="1" applyBorder="1"/>
    <xf numFmtId="49" fontId="5" fillId="10" borderId="1" xfId="0" applyNumberFormat="1" applyFont="1" applyFill="1" applyBorder="1"/>
    <xf numFmtId="0" fontId="5" fillId="10" borderId="1" xfId="0" applyFont="1" applyFill="1" applyBorder="1"/>
    <xf numFmtId="3" fontId="5" fillId="10" borderId="1" xfId="0" applyNumberFormat="1" applyFont="1" applyFill="1" applyBorder="1"/>
    <xf numFmtId="0" fontId="7" fillId="9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49" fontId="5" fillId="11" borderId="1" xfId="0" applyNumberFormat="1" applyFont="1" applyFill="1" applyBorder="1"/>
    <xf numFmtId="0" fontId="5" fillId="11" borderId="1" xfId="0" applyFont="1" applyFill="1" applyBorder="1"/>
    <xf numFmtId="3" fontId="5" fillId="11" borderId="1" xfId="0" applyNumberFormat="1" applyFont="1" applyFill="1" applyBorder="1"/>
    <xf numFmtId="0" fontId="5" fillId="11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5" fillId="12" borderId="1" xfId="0" applyFont="1" applyFill="1" applyBorder="1"/>
    <xf numFmtId="3" fontId="5" fillId="12" borderId="1" xfId="0" applyNumberFormat="1" applyFont="1" applyFill="1" applyBorder="1" applyAlignment="1">
      <alignment wrapText="1"/>
    </xf>
    <xf numFmtId="3" fontId="5" fillId="12" borderId="1" xfId="0" applyNumberFormat="1" applyFont="1" applyFill="1" applyBorder="1" applyAlignment="1">
      <alignment horizontal="left" wrapText="1"/>
    </xf>
    <xf numFmtId="0" fontId="12" fillId="0" borderId="1" xfId="0" applyFont="1" applyBorder="1"/>
    <xf numFmtId="3" fontId="12" fillId="0" borderId="1" xfId="0" applyNumberFormat="1" applyFont="1" applyBorder="1"/>
    <xf numFmtId="0" fontId="5" fillId="0" borderId="1" xfId="0" applyFont="1" applyBorder="1"/>
    <xf numFmtId="49" fontId="7" fillId="0" borderId="1" xfId="0" applyNumberFormat="1" applyFont="1" applyBorder="1"/>
    <xf numFmtId="49" fontId="5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/>
    <xf numFmtId="0" fontId="14" fillId="0" borderId="1" xfId="0" applyFont="1" applyBorder="1"/>
    <xf numFmtId="0" fontId="14" fillId="0" borderId="1" xfId="0" applyFont="1" applyFill="1" applyBorder="1"/>
    <xf numFmtId="3" fontId="14" fillId="0" borderId="1" xfId="0" applyNumberFormat="1" applyFont="1" applyBorder="1"/>
    <xf numFmtId="0" fontId="5" fillId="13" borderId="1" xfId="0" applyFont="1" applyFill="1" applyBorder="1" applyAlignment="1">
      <alignment wrapText="1"/>
    </xf>
    <xf numFmtId="3" fontId="5" fillId="1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horizontal="right" wrapText="1"/>
    </xf>
    <xf numFmtId="0" fontId="1" fillId="0" borderId="0" xfId="0" applyFont="1"/>
    <xf numFmtId="3" fontId="1" fillId="0" borderId="0" xfId="0" applyNumberFormat="1" applyFont="1"/>
    <xf numFmtId="0" fontId="5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9" borderId="1" xfId="0" applyNumberFormat="1" applyFont="1" applyFill="1" applyBorder="1" applyAlignment="1">
      <alignment horizontal="right"/>
    </xf>
    <xf numFmtId="3" fontId="5" fillId="11" borderId="1" xfId="0" applyNumberFormat="1" applyFont="1" applyFill="1" applyBorder="1" applyAlignment="1">
      <alignment horizontal="right"/>
    </xf>
    <xf numFmtId="49" fontId="5" fillId="0" borderId="1" xfId="0" applyNumberFormat="1" applyFont="1" applyBorder="1"/>
    <xf numFmtId="3" fontId="5" fillId="3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3" fontId="5" fillId="6" borderId="1" xfId="0" applyNumberFormat="1" applyFont="1" applyFill="1" applyBorder="1" applyAlignment="1">
      <alignment horizontal="right"/>
    </xf>
    <xf numFmtId="49" fontId="5" fillId="14" borderId="1" xfId="0" applyNumberFormat="1" applyFont="1" applyFill="1" applyBorder="1"/>
    <xf numFmtId="0" fontId="5" fillId="14" borderId="1" xfId="0" applyFont="1" applyFill="1" applyBorder="1"/>
    <xf numFmtId="3" fontId="5" fillId="14" borderId="1" xfId="0" applyNumberFormat="1" applyFont="1" applyFill="1" applyBorder="1" applyAlignment="1">
      <alignment horizontal="right"/>
    </xf>
    <xf numFmtId="3" fontId="5" fillId="8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 wrapText="1"/>
    </xf>
    <xf numFmtId="0" fontId="5" fillId="15" borderId="1" xfId="0" applyFont="1" applyFill="1" applyBorder="1"/>
    <xf numFmtId="0" fontId="14" fillId="15" borderId="1" xfId="0" applyFont="1" applyFill="1" applyBorder="1"/>
    <xf numFmtId="3" fontId="5" fillId="15" borderId="1" xfId="0" applyNumberFormat="1" applyFont="1" applyFill="1" applyBorder="1"/>
    <xf numFmtId="3" fontId="13" fillId="0" borderId="1" xfId="0" applyNumberFormat="1" applyFont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0" fontId="18" fillId="0" borderId="0" xfId="0" applyFont="1"/>
    <xf numFmtId="0" fontId="18" fillId="0" borderId="0" xfId="0" applyFont="1" applyAlignment="1">
      <alignment horizontal="right"/>
    </xf>
    <xf numFmtId="3" fontId="18" fillId="0" borderId="0" xfId="0" applyNumberFormat="1" applyFont="1"/>
    <xf numFmtId="3" fontId="19" fillId="0" borderId="0" xfId="0" applyNumberFormat="1" applyFont="1"/>
    <xf numFmtId="0" fontId="19" fillId="0" borderId="0" xfId="0" applyFont="1"/>
    <xf numFmtId="0" fontId="8" fillId="9" borderId="0" xfId="0" applyFont="1" applyFill="1"/>
    <xf numFmtId="0" fontId="19" fillId="9" borderId="0" xfId="0" applyFont="1" applyFill="1"/>
    <xf numFmtId="0" fontId="8" fillId="0" borderId="0" xfId="0" applyFont="1"/>
    <xf numFmtId="49" fontId="7" fillId="9" borderId="1" xfId="0" applyNumberFormat="1" applyFont="1" applyFill="1" applyBorder="1" applyAlignment="1">
      <alignment horizontal="right"/>
    </xf>
    <xf numFmtId="3" fontId="3" fillId="9" borderId="1" xfId="0" applyNumberFormat="1" applyFont="1" applyFill="1" applyBorder="1" applyAlignment="1">
      <alignment horizontal="left" wrapText="1"/>
    </xf>
    <xf numFmtId="3" fontId="6" fillId="9" borderId="1" xfId="0" applyNumberFormat="1" applyFont="1" applyFill="1" applyBorder="1" applyAlignment="1">
      <alignment horizontal="right" wrapText="1"/>
    </xf>
    <xf numFmtId="3" fontId="5" fillId="9" borderId="1" xfId="0" applyNumberFormat="1" applyFont="1" applyFill="1" applyBorder="1" applyAlignment="1">
      <alignment horizontal="right" wrapText="1"/>
    </xf>
    <xf numFmtId="3" fontId="7" fillId="9" borderId="1" xfId="0" applyNumberFormat="1" applyFont="1" applyFill="1" applyBorder="1" applyAlignment="1">
      <alignment horizontal="right" wrapText="1"/>
    </xf>
    <xf numFmtId="3" fontId="9" fillId="9" borderId="1" xfId="0" applyNumberFormat="1" applyFont="1" applyFill="1" applyBorder="1" applyAlignment="1">
      <alignment horizontal="right" wrapText="1"/>
    </xf>
    <xf numFmtId="3" fontId="3" fillId="9" borderId="1" xfId="0" applyNumberFormat="1" applyFont="1" applyFill="1" applyBorder="1" applyAlignment="1">
      <alignment wrapText="1"/>
    </xf>
    <xf numFmtId="3" fontId="5" fillId="9" borderId="1" xfId="0" applyNumberFormat="1" applyFont="1" applyFill="1" applyBorder="1"/>
    <xf numFmtId="3" fontId="11" fillId="9" borderId="1" xfId="0" applyNumberFormat="1" applyFont="1" applyFill="1" applyBorder="1"/>
    <xf numFmtId="3" fontId="5" fillId="9" borderId="1" xfId="0" applyNumberFormat="1" applyFont="1" applyFill="1" applyBorder="1" applyAlignment="1">
      <alignment horizontal="right"/>
    </xf>
    <xf numFmtId="3" fontId="3" fillId="9" borderId="1" xfId="0" applyNumberFormat="1" applyFont="1" applyFill="1" applyBorder="1"/>
    <xf numFmtId="3" fontId="5" fillId="9" borderId="1" xfId="0" applyNumberFormat="1" applyFont="1" applyFill="1" applyBorder="1" applyAlignment="1">
      <alignment wrapText="1"/>
    </xf>
    <xf numFmtId="3" fontId="12" fillId="9" borderId="1" xfId="0" applyNumberFormat="1" applyFont="1" applyFill="1" applyBorder="1"/>
    <xf numFmtId="3" fontId="14" fillId="9" borderId="1" xfId="0" applyNumberFormat="1" applyFont="1" applyFill="1" applyBorder="1"/>
    <xf numFmtId="3" fontId="15" fillId="9" borderId="1" xfId="0" applyNumberFormat="1" applyFont="1" applyFill="1" applyBorder="1" applyAlignment="1">
      <alignment wrapText="1"/>
    </xf>
    <xf numFmtId="0" fontId="18" fillId="9" borderId="0" xfId="0" applyFont="1" applyFill="1"/>
    <xf numFmtId="3" fontId="5" fillId="16" borderId="1" xfId="0" applyNumberFormat="1" applyFont="1" applyFill="1" applyBorder="1" applyAlignment="1">
      <alignment horizontal="right"/>
    </xf>
    <xf numFmtId="3" fontId="21" fillId="0" borderId="0" xfId="0" applyNumberFormat="1" applyFont="1"/>
    <xf numFmtId="3" fontId="22" fillId="0" borderId="0" xfId="0" applyNumberFormat="1" applyFont="1"/>
    <xf numFmtId="3" fontId="8" fillId="0" borderId="0" xfId="0" applyNumberFormat="1" applyFont="1"/>
    <xf numFmtId="0" fontId="21" fillId="0" borderId="0" xfId="0" applyFont="1"/>
    <xf numFmtId="3" fontId="8" fillId="0" borderId="1" xfId="0" applyNumberFormat="1" applyFont="1" applyBorder="1"/>
    <xf numFmtId="0" fontId="8" fillId="0" borderId="1" xfId="0" applyFont="1" applyBorder="1"/>
    <xf numFmtId="0" fontId="20" fillId="0" borderId="0" xfId="0" applyFont="1"/>
    <xf numFmtId="3" fontId="20" fillId="0" borderId="1" xfId="0" applyNumberFormat="1" applyFont="1" applyBorder="1"/>
    <xf numFmtId="3" fontId="23" fillId="0" borderId="1" xfId="0" applyNumberFormat="1" applyFont="1" applyBorder="1" applyAlignment="1">
      <alignment horizontal="right"/>
    </xf>
    <xf numFmtId="3" fontId="23" fillId="14" borderId="1" xfId="0" applyNumberFormat="1" applyFont="1" applyFill="1" applyBorder="1" applyAlignment="1">
      <alignment horizontal="right"/>
    </xf>
    <xf numFmtId="3" fontId="8" fillId="9" borderId="1" xfId="0" applyNumberFormat="1" applyFont="1" applyFill="1" applyBorder="1"/>
    <xf numFmtId="3" fontId="8" fillId="9" borderId="1" xfId="0" applyNumberFormat="1" applyFont="1" applyFill="1" applyBorder="1" applyAlignment="1">
      <alignment horizontal="right" wrapText="1"/>
    </xf>
    <xf numFmtId="0" fontId="8" fillId="9" borderId="1" xfId="0" applyFont="1" applyFill="1" applyBorder="1"/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3" fontId="10" fillId="0" borderId="1" xfId="0" applyNumberFormat="1" applyFont="1" applyBorder="1" applyAlignment="1">
      <alignment horizontal="right"/>
    </xf>
    <xf numFmtId="3" fontId="10" fillId="9" borderId="1" xfId="0" applyNumberFormat="1" applyFont="1" applyFill="1" applyBorder="1"/>
    <xf numFmtId="3" fontId="10" fillId="0" borderId="1" xfId="0" applyNumberFormat="1" applyFont="1" applyBorder="1"/>
    <xf numFmtId="3" fontId="24" fillId="0" borderId="0" xfId="0" applyNumberFormat="1" applyFont="1"/>
    <xf numFmtId="0" fontId="24" fillId="0" borderId="0" xfId="0" applyFont="1"/>
    <xf numFmtId="49" fontId="10" fillId="0" borderId="1" xfId="0" applyNumberFormat="1" applyFont="1" applyBorder="1" applyAlignment="1">
      <alignment horizontal="right"/>
    </xf>
    <xf numFmtId="3" fontId="24" fillId="0" borderId="1" xfId="0" applyNumberFormat="1" applyFont="1" applyBorder="1"/>
    <xf numFmtId="0" fontId="10" fillId="9" borderId="1" xfId="0" applyNumberFormat="1" applyFont="1" applyFill="1" applyBorder="1" applyAlignment="1">
      <alignment horizontal="right"/>
    </xf>
    <xf numFmtId="3" fontId="10" fillId="9" borderId="1" xfId="0" applyNumberFormat="1" applyFont="1" applyFill="1" applyBorder="1" applyAlignment="1">
      <alignment horizontal="right"/>
    </xf>
    <xf numFmtId="3" fontId="8" fillId="9" borderId="0" xfId="0" applyNumberFormat="1" applyFont="1" applyFill="1"/>
    <xf numFmtId="3" fontId="7" fillId="9" borderId="0" xfId="0" applyNumberFormat="1" applyFont="1" applyFill="1"/>
    <xf numFmtId="0" fontId="7" fillId="9" borderId="0" xfId="0" applyFont="1" applyFill="1"/>
    <xf numFmtId="0" fontId="7" fillId="0" borderId="1" xfId="0" applyFont="1" applyBorder="1" applyAlignment="1">
      <alignment horizontal="left"/>
    </xf>
    <xf numFmtId="3" fontId="8" fillId="0" borderId="2" xfId="0" applyNumberFormat="1" applyFont="1" applyBorder="1"/>
    <xf numFmtId="0" fontId="3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3" fontId="25" fillId="0" borderId="1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4" fillId="12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3" fontId="19" fillId="11" borderId="1" xfId="0" applyNumberFormat="1" applyFont="1" applyFill="1" applyBorder="1"/>
    <xf numFmtId="0" fontId="10" fillId="9" borderId="1" xfId="0" applyFont="1" applyFill="1" applyBorder="1"/>
    <xf numFmtId="3" fontId="28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/>
    <xf numFmtId="0" fontId="28" fillId="0" borderId="1" xfId="0" applyFont="1" applyBorder="1"/>
    <xf numFmtId="3" fontId="27" fillId="0" borderId="1" xfId="0" applyNumberFormat="1" applyFont="1" applyBorder="1" applyAlignment="1">
      <alignment wrapText="1"/>
    </xf>
    <xf numFmtId="0" fontId="29" fillId="0" borderId="0" xfId="0" applyFont="1"/>
    <xf numFmtId="3" fontId="29" fillId="0" borderId="0" xfId="0" applyNumberFormat="1" applyFont="1"/>
    <xf numFmtId="3" fontId="5" fillId="17" borderId="1" xfId="0" applyNumberFormat="1" applyFont="1" applyFill="1" applyBorder="1" applyAlignment="1">
      <alignment horizontal="right" wrapText="1"/>
    </xf>
    <xf numFmtId="3" fontId="5" fillId="17" borderId="1" xfId="0" applyNumberFormat="1" applyFont="1" applyFill="1" applyBorder="1" applyAlignment="1">
      <alignment wrapText="1"/>
    </xf>
    <xf numFmtId="3" fontId="5" fillId="17" borderId="1" xfId="0" applyNumberFormat="1" applyFont="1" applyFill="1" applyBorder="1"/>
    <xf numFmtId="3" fontId="30" fillId="17" borderId="0" xfId="0" applyNumberFormat="1" applyFont="1" applyFill="1" applyAlignment="1">
      <alignment wrapText="1"/>
    </xf>
    <xf numFmtId="3" fontId="31" fillId="17" borderId="1" xfId="0" applyNumberFormat="1" applyFont="1" applyFill="1" applyBorder="1" applyAlignment="1">
      <alignment horizontal="right" wrapText="1"/>
    </xf>
    <xf numFmtId="3" fontId="32" fillId="17" borderId="1" xfId="0" applyNumberFormat="1" applyFont="1" applyFill="1" applyBorder="1" applyAlignment="1">
      <alignment horizontal="right" wrapText="1"/>
    </xf>
    <xf numFmtId="3" fontId="33" fillId="17" borderId="1" xfId="0" applyNumberFormat="1" applyFont="1" applyFill="1" applyBorder="1" applyAlignment="1">
      <alignment horizontal="right" wrapText="1"/>
    </xf>
    <xf numFmtId="3" fontId="34" fillId="17" borderId="1" xfId="0" applyNumberFormat="1" applyFont="1" applyFill="1" applyBorder="1" applyAlignment="1">
      <alignment wrapText="1"/>
    </xf>
    <xf numFmtId="3" fontId="30" fillId="17" borderId="1" xfId="0" applyNumberFormat="1" applyFont="1" applyFill="1" applyBorder="1" applyAlignment="1">
      <alignment wrapText="1"/>
    </xf>
    <xf numFmtId="3" fontId="22" fillId="17" borderId="1" xfId="0" applyNumberFormat="1" applyFont="1" applyFill="1" applyBorder="1" applyAlignment="1">
      <alignment wrapText="1"/>
    </xf>
    <xf numFmtId="3" fontId="19" fillId="17" borderId="1" xfId="0" applyNumberFormat="1" applyFont="1" applyFill="1" applyBorder="1" applyAlignment="1">
      <alignment wrapText="1"/>
    </xf>
    <xf numFmtId="0" fontId="36" fillId="0" borderId="0" xfId="0" applyFont="1"/>
    <xf numFmtId="3" fontId="0" fillId="0" borderId="0" xfId="0" applyNumberFormat="1"/>
    <xf numFmtId="3" fontId="35" fillId="0" borderId="0" xfId="0" applyNumberFormat="1" applyFont="1"/>
    <xf numFmtId="0" fontId="36" fillId="0" borderId="0" xfId="0" applyFont="1" applyAlignment="1">
      <alignment horizontal="right"/>
    </xf>
    <xf numFmtId="3" fontId="36" fillId="0" borderId="0" xfId="0" applyNumberFormat="1" applyFont="1"/>
    <xf numFmtId="0" fontId="37" fillId="0" borderId="0" xfId="0" applyFont="1"/>
    <xf numFmtId="4" fontId="18" fillId="0" borderId="0" xfId="0" applyNumberFormat="1" applyFont="1" applyAlignment="1">
      <alignment wrapText="1"/>
    </xf>
    <xf numFmtId="4" fontId="18" fillId="9" borderId="0" xfId="0" applyNumberFormat="1" applyFont="1" applyFill="1" applyAlignment="1">
      <alignment wrapText="1"/>
    </xf>
    <xf numFmtId="0" fontId="28" fillId="18" borderId="0" xfId="0" applyNumberFormat="1" applyFont="1" applyFill="1" applyAlignment="1">
      <alignment horizontal="center" wrapText="1"/>
    </xf>
    <xf numFmtId="3" fontId="18" fillId="18" borderId="0" xfId="0" applyNumberFormat="1" applyFont="1" applyFill="1" applyAlignment="1">
      <alignment wrapText="1"/>
    </xf>
    <xf numFmtId="3" fontId="18" fillId="9" borderId="0" xfId="0" applyNumberFormat="1" applyFont="1" applyFill="1" applyAlignment="1">
      <alignment wrapText="1"/>
    </xf>
    <xf numFmtId="3" fontId="28" fillId="18" borderId="0" xfId="0" applyNumberFormat="1" applyFont="1" applyFill="1" applyAlignment="1">
      <alignment wrapText="1"/>
    </xf>
    <xf numFmtId="9" fontId="21" fillId="0" borderId="0" xfId="1" applyFont="1"/>
    <xf numFmtId="9" fontId="18" fillId="0" borderId="0" xfId="1" applyFont="1"/>
    <xf numFmtId="9" fontId="19" fillId="0" borderId="0" xfId="1" applyFont="1"/>
    <xf numFmtId="9" fontId="18" fillId="0" borderId="0" xfId="0" applyNumberFormat="1" applyFont="1"/>
    <xf numFmtId="9" fontId="41" fillId="0" borderId="0" xfId="0" applyNumberFormat="1" applyFont="1"/>
    <xf numFmtId="10" fontId="21" fillId="0" borderId="0" xfId="0" applyNumberFormat="1" applyFont="1"/>
    <xf numFmtId="0" fontId="42" fillId="0" borderId="0" xfId="0" applyFont="1"/>
    <xf numFmtId="3" fontId="42" fillId="0" borderId="0" xfId="0" applyNumberFormat="1" applyFont="1"/>
    <xf numFmtId="0" fontId="43" fillId="0" borderId="0" xfId="0" applyFont="1"/>
    <xf numFmtId="3" fontId="44" fillId="0" borderId="0" xfId="0" applyNumberFormat="1" applyFont="1"/>
    <xf numFmtId="3" fontId="15" fillId="0" borderId="0" xfId="0" applyNumberFormat="1" applyFont="1" applyBorder="1" applyAlignment="1">
      <alignment wrapText="1"/>
    </xf>
    <xf numFmtId="3" fontId="15" fillId="0" borderId="3" xfId="0" applyNumberFormat="1" applyFont="1" applyBorder="1" applyAlignment="1">
      <alignment wrapText="1"/>
    </xf>
    <xf numFmtId="3" fontId="50" fillId="4" borderId="1" xfId="0" applyNumberFormat="1" applyFont="1" applyFill="1" applyBorder="1"/>
    <xf numFmtId="3" fontId="50" fillId="8" borderId="1" xfId="0" applyNumberFormat="1" applyFont="1" applyFill="1" applyBorder="1"/>
    <xf numFmtId="10" fontId="18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right"/>
    </xf>
    <xf numFmtId="3" fontId="15" fillId="0" borderId="0" xfId="0" applyNumberFormat="1" applyFont="1"/>
    <xf numFmtId="0" fontId="26" fillId="0" borderId="0" xfId="0" applyFont="1"/>
    <xf numFmtId="3" fontId="26" fillId="0" borderId="0" xfId="0" applyNumberFormat="1" applyFont="1"/>
    <xf numFmtId="3" fontId="30" fillId="17" borderId="3" xfId="0" applyNumberFormat="1" applyFont="1" applyFill="1" applyBorder="1" applyAlignment="1">
      <alignment wrapText="1"/>
    </xf>
    <xf numFmtId="3" fontId="50" fillId="15" borderId="1" xfId="0" applyNumberFormat="1" applyFont="1" applyFill="1" applyBorder="1"/>
    <xf numFmtId="0" fontId="27" fillId="0" borderId="1" xfId="0" applyFont="1" applyBorder="1" applyAlignment="1">
      <alignment wrapText="1"/>
    </xf>
    <xf numFmtId="10" fontId="19" fillId="0" borderId="0" xfId="0" applyNumberFormat="1" applyFont="1"/>
    <xf numFmtId="0" fontId="18" fillId="13" borderId="0" xfId="0" applyFont="1" applyFill="1"/>
    <xf numFmtId="0" fontId="8" fillId="13" borderId="0" xfId="0" applyFont="1" applyFill="1"/>
    <xf numFmtId="3" fontId="19" fillId="12" borderId="1" xfId="0" applyNumberFormat="1" applyFont="1" applyFill="1" applyBorder="1" applyAlignment="1">
      <alignment wrapText="1"/>
    </xf>
    <xf numFmtId="3" fontId="7" fillId="0" borderId="0" xfId="0" applyNumberFormat="1" applyFont="1" applyBorder="1"/>
    <xf numFmtId="0" fontId="20" fillId="13" borderId="0" xfId="0" applyFont="1" applyFill="1"/>
    <xf numFmtId="3" fontId="18" fillId="13" borderId="0" xfId="0" applyNumberFormat="1" applyFont="1" applyFill="1"/>
    <xf numFmtId="3" fontId="8" fillId="13" borderId="0" xfId="0" applyNumberFormat="1" applyFont="1" applyFill="1"/>
    <xf numFmtId="3" fontId="24" fillId="13" borderId="0" xfId="0" applyNumberFormat="1" applyFont="1" applyFill="1"/>
    <xf numFmtId="0" fontId="24" fillId="13" borderId="0" xfId="0" applyFont="1" applyFill="1"/>
    <xf numFmtId="0" fontId="19" fillId="13" borderId="0" xfId="0" applyFont="1" applyFill="1"/>
    <xf numFmtId="0" fontId="21" fillId="13" borderId="0" xfId="0" applyFont="1" applyFill="1"/>
    <xf numFmtId="3" fontId="19" fillId="13" borderId="0" xfId="0" applyNumberFormat="1" applyFont="1" applyFill="1"/>
    <xf numFmtId="3" fontId="22" fillId="13" borderId="0" xfId="0" applyNumberFormat="1" applyFont="1" applyFill="1"/>
    <xf numFmtId="3" fontId="21" fillId="13" borderId="0" xfId="0" applyNumberFormat="1" applyFont="1" applyFill="1"/>
    <xf numFmtId="3" fontId="51" fillId="0" borderId="1" xfId="0" applyNumberFormat="1" applyFont="1" applyBorder="1" applyAlignment="1">
      <alignment horizontal="right" wrapText="1"/>
    </xf>
    <xf numFmtId="3" fontId="52" fillId="0" borderId="1" xfId="0" applyNumberFormat="1" applyFont="1" applyBorder="1" applyAlignment="1">
      <alignment horizontal="right" wrapText="1"/>
    </xf>
    <xf numFmtId="14" fontId="0" fillId="0" borderId="0" xfId="0" applyNumberFormat="1"/>
    <xf numFmtId="0" fontId="0" fillId="0" borderId="0" xfId="0" applyAlignment="1">
      <alignment wrapText="1"/>
    </xf>
    <xf numFmtId="0" fontId="39" fillId="13" borderId="0" xfId="0" applyFont="1" applyFill="1"/>
    <xf numFmtId="0" fontId="29" fillId="13" borderId="0" xfId="0" applyFont="1" applyFill="1"/>
    <xf numFmtId="3" fontId="9" fillId="0" borderId="0" xfId="0" applyNumberFormat="1" applyFont="1" applyBorder="1" applyAlignment="1">
      <alignment horizontal="right" wrapText="1"/>
    </xf>
    <xf numFmtId="0" fontId="55" fillId="13" borderId="0" xfId="0" applyFont="1" applyFill="1"/>
    <xf numFmtId="0" fontId="56" fillId="13" borderId="0" xfId="0" applyFont="1" applyFill="1"/>
    <xf numFmtId="3" fontId="57" fillId="0" borderId="1" xfId="0" applyNumberFormat="1" applyFont="1" applyBorder="1"/>
    <xf numFmtId="0" fontId="47" fillId="20" borderId="0" xfId="0" applyFont="1" applyFill="1"/>
    <xf numFmtId="3" fontId="47" fillId="20" borderId="1" xfId="0" applyNumberFormat="1" applyFont="1" applyFill="1" applyBorder="1"/>
    <xf numFmtId="3" fontId="8" fillId="20" borderId="1" xfId="0" applyNumberFormat="1" applyFont="1" applyFill="1" applyBorder="1"/>
    <xf numFmtId="3" fontId="5" fillId="20" borderId="1" xfId="0" applyNumberFormat="1" applyFont="1" applyFill="1" applyBorder="1"/>
    <xf numFmtId="3" fontId="57" fillId="20" borderId="1" xfId="0" applyNumberFormat="1" applyFont="1" applyFill="1" applyBorder="1"/>
    <xf numFmtId="0" fontId="55" fillId="0" borderId="0" xfId="0" applyFont="1"/>
    <xf numFmtId="0" fontId="58" fillId="20" borderId="0" xfId="0" applyFont="1" applyFill="1"/>
    <xf numFmtId="3" fontId="59" fillId="20" borderId="0" xfId="0" applyNumberFormat="1" applyFont="1" applyFill="1"/>
    <xf numFmtId="0" fontId="59" fillId="20" borderId="0" xfId="0" applyFont="1" applyFill="1"/>
    <xf numFmtId="3" fontId="45" fillId="20" borderId="1" xfId="0" applyNumberFormat="1" applyFont="1" applyFill="1" applyBorder="1"/>
    <xf numFmtId="3" fontId="45" fillId="0" borderId="1" xfId="0" applyNumberFormat="1" applyFont="1" applyBorder="1"/>
    <xf numFmtId="49" fontId="45" fillId="0" borderId="1" xfId="0" applyNumberFormat="1" applyFont="1" applyBorder="1" applyAlignment="1">
      <alignment horizontal="left"/>
    </xf>
    <xf numFmtId="0" fontId="45" fillId="0" borderId="1" xfId="0" applyFont="1" applyBorder="1"/>
    <xf numFmtId="3" fontId="45" fillId="0" borderId="1" xfId="0" applyNumberFormat="1" applyFont="1" applyBorder="1" applyAlignment="1">
      <alignment horizontal="right"/>
    </xf>
    <xf numFmtId="3" fontId="45" fillId="9" borderId="1" xfId="0" applyNumberFormat="1" applyFont="1" applyFill="1" applyBorder="1"/>
    <xf numFmtId="3" fontId="7" fillId="20" borderId="1" xfId="0" applyNumberFormat="1" applyFont="1" applyFill="1" applyBorder="1"/>
    <xf numFmtId="3" fontId="28" fillId="13" borderId="0" xfId="0" applyNumberFormat="1" applyFont="1" applyFill="1"/>
    <xf numFmtId="10" fontId="46" fillId="0" borderId="0" xfId="0" applyNumberFormat="1" applyFont="1"/>
    <xf numFmtId="3" fontId="33" fillId="17" borderId="1" xfId="0" applyNumberFormat="1" applyFont="1" applyFill="1" applyBorder="1" applyAlignment="1">
      <alignment wrapText="1"/>
    </xf>
    <xf numFmtId="3" fontId="30" fillId="17" borderId="4" xfId="0" applyNumberFormat="1" applyFont="1" applyFill="1" applyBorder="1" applyAlignment="1">
      <alignment wrapText="1"/>
    </xf>
    <xf numFmtId="3" fontId="19" fillId="13" borderId="1" xfId="0" applyNumberFormat="1" applyFont="1" applyFill="1" applyBorder="1" applyAlignment="1">
      <alignment wrapText="1"/>
    </xf>
    <xf numFmtId="3" fontId="30" fillId="9" borderId="0" xfId="0" applyNumberFormat="1" applyFont="1" applyFill="1" applyAlignment="1">
      <alignment wrapText="1"/>
    </xf>
    <xf numFmtId="14" fontId="22" fillId="0" borderId="0" xfId="0" applyNumberFormat="1" applyFont="1"/>
    <xf numFmtId="0" fontId="62" fillId="0" borderId="0" xfId="0" applyFont="1"/>
    <xf numFmtId="3" fontId="63" fillId="0" borderId="0" xfId="0" applyNumberFormat="1" applyFont="1"/>
    <xf numFmtId="0" fontId="64" fillId="0" borderId="0" xfId="0" applyFont="1"/>
    <xf numFmtId="0" fontId="62" fillId="13" borderId="0" xfId="0" applyFont="1" applyFill="1"/>
    <xf numFmtId="0" fontId="62" fillId="9" borderId="0" xfId="0" applyFont="1" applyFill="1"/>
    <xf numFmtId="0" fontId="29" fillId="9" borderId="0" xfId="0" applyFont="1" applyFill="1"/>
    <xf numFmtId="0" fontId="64" fillId="9" borderId="0" xfId="0" applyFont="1" applyFill="1"/>
    <xf numFmtId="3" fontId="62" fillId="0" borderId="0" xfId="0" applyNumberFormat="1" applyFont="1"/>
    <xf numFmtId="0" fontId="65" fillId="0" borderId="0" xfId="0" applyFont="1"/>
    <xf numFmtId="3" fontId="18" fillId="9" borderId="0" xfId="0" applyNumberFormat="1" applyFont="1" applyFill="1"/>
    <xf numFmtId="3" fontId="62" fillId="9" borderId="0" xfId="0" applyNumberFormat="1" applyFont="1" applyFill="1"/>
    <xf numFmtId="0" fontId="65" fillId="9" borderId="0" xfId="0" applyFont="1" applyFill="1"/>
    <xf numFmtId="3" fontId="63" fillId="9" borderId="0" xfId="0" applyNumberFormat="1" applyFont="1" applyFill="1"/>
    <xf numFmtId="0" fontId="18" fillId="9" borderId="0" xfId="0" applyFont="1" applyFill="1" applyAlignment="1">
      <alignment horizontal="center"/>
    </xf>
    <xf numFmtId="0" fontId="20" fillId="9" borderId="0" xfId="0" applyFont="1" applyFill="1"/>
    <xf numFmtId="3" fontId="24" fillId="9" borderId="0" xfId="0" applyNumberFormat="1" applyFont="1" applyFill="1"/>
    <xf numFmtId="0" fontId="24" fillId="9" borderId="0" xfId="0" applyFont="1" applyFill="1"/>
    <xf numFmtId="0" fontId="21" fillId="9" borderId="0" xfId="0" applyFont="1" applyFill="1"/>
    <xf numFmtId="3" fontId="39" fillId="9" borderId="0" xfId="0" applyNumberFormat="1" applyFont="1" applyFill="1"/>
    <xf numFmtId="9" fontId="29" fillId="9" borderId="0" xfId="1" applyFont="1" applyFill="1"/>
    <xf numFmtId="9" fontId="39" fillId="9" borderId="0" xfId="1" applyFont="1" applyFill="1"/>
    <xf numFmtId="0" fontId="47" fillId="9" borderId="0" xfId="0" applyFont="1" applyFill="1"/>
    <xf numFmtId="3" fontId="21" fillId="9" borderId="0" xfId="0" applyNumberFormat="1" applyFont="1" applyFill="1"/>
    <xf numFmtId="0" fontId="39" fillId="9" borderId="0" xfId="0" applyFont="1" applyFill="1"/>
    <xf numFmtId="3" fontId="22" fillId="9" borderId="0" xfId="0" applyNumberFormat="1" applyFont="1" applyFill="1"/>
    <xf numFmtId="0" fontId="65" fillId="0" borderId="0" xfId="1" applyNumberFormat="1" applyFont="1"/>
    <xf numFmtId="3" fontId="66" fillId="9" borderId="0" xfId="0" applyNumberFormat="1" applyFont="1" applyFill="1"/>
    <xf numFmtId="9" fontId="65" fillId="0" borderId="0" xfId="1" applyFont="1"/>
    <xf numFmtId="0" fontId="66" fillId="9" borderId="0" xfId="0" applyFont="1" applyFill="1"/>
    <xf numFmtId="0" fontId="66" fillId="0" borderId="0" xfId="0" applyFont="1"/>
    <xf numFmtId="3" fontId="67" fillId="9" borderId="0" xfId="0" applyNumberFormat="1" applyFont="1" applyFill="1"/>
    <xf numFmtId="3" fontId="68" fillId="0" borderId="0" xfId="0" applyNumberFormat="1" applyFont="1"/>
    <xf numFmtId="3" fontId="69" fillId="9" borderId="0" xfId="0" applyNumberFormat="1" applyFont="1" applyFill="1"/>
    <xf numFmtId="0" fontId="69" fillId="0" borderId="0" xfId="0" applyFont="1"/>
    <xf numFmtId="0" fontId="69" fillId="13" borderId="0" xfId="0" applyFont="1" applyFill="1"/>
    <xf numFmtId="0" fontId="69" fillId="9" borderId="0" xfId="0" applyFont="1" applyFill="1"/>
    <xf numFmtId="0" fontId="68" fillId="0" borderId="0" xfId="0" applyFont="1"/>
    <xf numFmtId="3" fontId="68" fillId="9" borderId="0" xfId="0" applyNumberFormat="1" applyFont="1" applyFill="1"/>
    <xf numFmtId="0" fontId="70" fillId="0" borderId="0" xfId="0" applyFont="1"/>
    <xf numFmtId="3" fontId="70" fillId="9" borderId="0" xfId="0" applyNumberFormat="1" applyFont="1" applyFill="1"/>
    <xf numFmtId="3" fontId="65" fillId="9" borderId="0" xfId="0" applyNumberFormat="1" applyFont="1" applyFill="1"/>
    <xf numFmtId="0" fontId="71" fillId="0" borderId="0" xfId="0" applyFont="1"/>
    <xf numFmtId="0" fontId="71" fillId="9" borderId="0" xfId="0" applyFont="1" applyFill="1"/>
    <xf numFmtId="9" fontId="72" fillId="0" borderId="0" xfId="0" applyNumberFormat="1" applyFont="1"/>
    <xf numFmtId="0" fontId="72" fillId="9" borderId="0" xfId="0" applyFont="1" applyFill="1"/>
    <xf numFmtId="0" fontId="73" fillId="0" borderId="0" xfId="0" applyFont="1"/>
    <xf numFmtId="0" fontId="73" fillId="9" borderId="0" xfId="0" applyFont="1" applyFill="1"/>
    <xf numFmtId="3" fontId="73" fillId="9" borderId="0" xfId="0" applyNumberFormat="1" applyFont="1" applyFill="1"/>
    <xf numFmtId="9" fontId="62" fillId="0" borderId="0" xfId="0" applyNumberFormat="1" applyFont="1"/>
    <xf numFmtId="3" fontId="67" fillId="0" borderId="0" xfId="0" applyNumberFormat="1" applyFont="1"/>
    <xf numFmtId="3" fontId="69" fillId="0" borderId="0" xfId="0" applyNumberFormat="1" applyFont="1"/>
    <xf numFmtId="0" fontId="74" fillId="0" borderId="0" xfId="0" applyFont="1"/>
    <xf numFmtId="3" fontId="74" fillId="9" borderId="0" xfId="0" applyNumberFormat="1" applyFont="1" applyFill="1"/>
    <xf numFmtId="0" fontId="74" fillId="9" borderId="0" xfId="0" applyFont="1" applyFill="1"/>
    <xf numFmtId="0" fontId="75" fillId="0" borderId="0" xfId="0" applyFont="1"/>
    <xf numFmtId="3" fontId="75" fillId="9" borderId="0" xfId="0" applyNumberFormat="1" applyFont="1" applyFill="1"/>
    <xf numFmtId="9" fontId="76" fillId="0" borderId="0" xfId="0" applyNumberFormat="1" applyFont="1"/>
    <xf numFmtId="0" fontId="76" fillId="9" borderId="0" xfId="0" applyFont="1" applyFill="1"/>
    <xf numFmtId="0" fontId="65" fillId="13" borderId="0" xfId="0" applyFont="1" applyFill="1"/>
    <xf numFmtId="3" fontId="65" fillId="0" borderId="0" xfId="0" applyNumberFormat="1" applyFont="1"/>
    <xf numFmtId="3" fontId="78" fillId="0" borderId="0" xfId="0" applyNumberFormat="1" applyFont="1"/>
    <xf numFmtId="10" fontId="62" fillId="0" borderId="0" xfId="0" applyNumberFormat="1" applyFont="1"/>
    <xf numFmtId="10" fontId="65" fillId="0" borderId="0" xfId="0" applyNumberFormat="1" applyFont="1"/>
    <xf numFmtId="0" fontId="77" fillId="9" borderId="0" xfId="0" applyFont="1" applyFill="1"/>
    <xf numFmtId="3" fontId="73" fillId="0" borderId="0" xfId="0" applyNumberFormat="1" applyFont="1"/>
    <xf numFmtId="0" fontId="71" fillId="20" borderId="0" xfId="0" applyFont="1" applyFill="1"/>
    <xf numFmtId="0" fontId="65" fillId="20" borderId="0" xfId="0" applyFont="1" applyFill="1"/>
    <xf numFmtId="0" fontId="7" fillId="9" borderId="1" xfId="0" applyFont="1" applyFill="1" applyBorder="1" applyAlignment="1">
      <alignment horizontal="left"/>
    </xf>
    <xf numFmtId="3" fontId="57" fillId="9" borderId="1" xfId="0" applyNumberFormat="1" applyFont="1" applyFill="1" applyBorder="1"/>
    <xf numFmtId="3" fontId="33" fillId="21" borderId="1" xfId="0" applyNumberFormat="1" applyFont="1" applyFill="1" applyBorder="1" applyAlignment="1">
      <alignment wrapText="1"/>
    </xf>
    <xf numFmtId="3" fontId="1" fillId="17" borderId="1" xfId="0" applyNumberFormat="1" applyFont="1" applyFill="1" applyBorder="1" applyAlignment="1">
      <alignment wrapText="1"/>
    </xf>
    <xf numFmtId="49" fontId="7" fillId="9" borderId="1" xfId="0" applyNumberFormat="1" applyFont="1" applyFill="1" applyBorder="1" applyAlignment="1">
      <alignment horizontal="left"/>
    </xf>
    <xf numFmtId="3" fontId="30" fillId="21" borderId="1" xfId="0" applyNumberFormat="1" applyFont="1" applyFill="1" applyBorder="1" applyAlignment="1">
      <alignment wrapText="1"/>
    </xf>
    <xf numFmtId="3" fontId="1" fillId="21" borderId="1" xfId="0" applyNumberFormat="1" applyFont="1" applyFill="1" applyBorder="1" applyAlignment="1">
      <alignment wrapText="1"/>
    </xf>
    <xf numFmtId="0" fontId="54" fillId="9" borderId="0" xfId="0" applyFont="1" applyFill="1"/>
    <xf numFmtId="3" fontId="22" fillId="21" borderId="1" xfId="0" applyNumberFormat="1" applyFont="1" applyFill="1" applyBorder="1" applyAlignment="1">
      <alignment wrapText="1"/>
    </xf>
    <xf numFmtId="49" fontId="53" fillId="9" borderId="0" xfId="0" applyNumberFormat="1" applyFont="1" applyFill="1"/>
    <xf numFmtId="9" fontId="53" fillId="9" borderId="0" xfId="0" applyNumberFormat="1" applyFont="1" applyFill="1"/>
    <xf numFmtId="0" fontId="40" fillId="9" borderId="0" xfId="0" applyFont="1" applyFill="1"/>
    <xf numFmtId="0" fontId="58" fillId="9" borderId="0" xfId="0" applyFont="1" applyFill="1"/>
    <xf numFmtId="49" fontId="7" fillId="9" borderId="1" xfId="0" applyNumberFormat="1" applyFont="1" applyFill="1" applyBorder="1"/>
    <xf numFmtId="3" fontId="12" fillId="17" borderId="1" xfId="0" applyNumberFormat="1" applyFont="1" applyFill="1" applyBorder="1" applyAlignment="1">
      <alignment wrapText="1"/>
    </xf>
    <xf numFmtId="3" fontId="7" fillId="19" borderId="1" xfId="0" applyNumberFormat="1" applyFont="1" applyFill="1" applyBorder="1"/>
    <xf numFmtId="3" fontId="48" fillId="20" borderId="4" xfId="0" applyNumberFormat="1" applyFont="1" applyFill="1" applyBorder="1"/>
    <xf numFmtId="3" fontId="49" fillId="0" borderId="4" xfId="0" applyNumberFormat="1" applyFont="1" applyBorder="1"/>
    <xf numFmtId="3" fontId="60" fillId="0" borderId="5" xfId="0" applyNumberFormat="1" applyFont="1" applyBorder="1" applyAlignment="1">
      <alignment wrapText="1"/>
    </xf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colors>
    <mruColors>
      <color rgb="FFFFCCFF"/>
      <color rgb="FFFF99FF"/>
      <color rgb="FFCCFF33"/>
      <color rgb="FF2F75B5"/>
      <color rgb="FFFF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ljalavv-my.sharepoint.com/Users/maarjakuuskla/AppData/Local/Microsoft/Windows/INetCache/Content.Outlook/X3362Q3M/Haljaja+Vihula%20-%202018%20EELARVE%20TABEL-%2020.12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NDEELARVE"/>
      <sheetName val="TULUD"/>
      <sheetName val="TEGEVUSALA KULUD"/>
      <sheetName val="INVESTEERINGUD"/>
      <sheetName val="FINANTSEERINGUD"/>
      <sheetName val="Haljala eelarve"/>
      <sheetName val="VIHULA+HALJ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2">
          <cell r="L42">
            <v>1800000</v>
          </cell>
        </row>
        <row r="212">
          <cell r="A212" t="str">
            <v>5511</v>
          </cell>
        </row>
        <row r="213">
          <cell r="A213" t="str">
            <v>5513</v>
          </cell>
        </row>
        <row r="214">
          <cell r="A214" t="str">
            <v>5514</v>
          </cell>
        </row>
        <row r="215">
          <cell r="A215" t="str">
            <v>5515</v>
          </cell>
        </row>
        <row r="216">
          <cell r="A216" t="str">
            <v>5523</v>
          </cell>
        </row>
        <row r="217">
          <cell r="A217" t="str">
            <v>5525</v>
          </cell>
        </row>
      </sheetData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33"/>
  <sheetViews>
    <sheetView tabSelected="1" workbookViewId="0">
      <selection activeCell="F4" sqref="F4"/>
    </sheetView>
  </sheetViews>
  <sheetFormatPr defaultRowHeight="14.5" x14ac:dyDescent="0.35"/>
  <cols>
    <col min="1" max="1" width="8.7265625" customWidth="1"/>
    <col min="2" max="2" width="36.81640625" customWidth="1"/>
    <col min="3" max="3" width="14" hidden="1" customWidth="1"/>
    <col min="4" max="5" width="14" customWidth="1"/>
    <col min="6" max="6" width="11.7265625" customWidth="1"/>
    <col min="7" max="7" width="11.81640625" style="223" customWidth="1"/>
    <col min="8" max="8" width="13" style="223" customWidth="1"/>
  </cols>
  <sheetData>
    <row r="1" spans="1:8" ht="32.5" x14ac:dyDescent="0.35">
      <c r="A1" s="2" t="s">
        <v>0</v>
      </c>
      <c r="B1" s="172" t="s">
        <v>1</v>
      </c>
      <c r="C1" s="191" t="s">
        <v>2</v>
      </c>
      <c r="D1" s="191" t="s">
        <v>3</v>
      </c>
      <c r="E1" s="191" t="s">
        <v>44</v>
      </c>
      <c r="F1" s="239" t="s">
        <v>4</v>
      </c>
    </row>
    <row r="2" spans="1:8" ht="15.5" x14ac:dyDescent="0.35">
      <c r="A2" s="180"/>
      <c r="B2" s="182" t="s">
        <v>5</v>
      </c>
      <c r="C2" s="181">
        <f t="shared" ref="C2:F2" si="0">C3+C7+C8+C12</f>
        <v>5675916</v>
      </c>
      <c r="D2" s="181">
        <f t="shared" si="0"/>
        <v>6068834</v>
      </c>
      <c r="E2" s="181">
        <f>E3+E7+E8+E12</f>
        <v>6111174.2599999998</v>
      </c>
      <c r="F2" s="181">
        <f t="shared" si="0"/>
        <v>6307970</v>
      </c>
    </row>
    <row r="3" spans="1:8" x14ac:dyDescent="0.35">
      <c r="A3" s="172">
        <v>30</v>
      </c>
      <c r="B3" s="172" t="s">
        <v>6</v>
      </c>
      <c r="C3" s="173">
        <f>SUM(C4:C6)</f>
        <v>4029964</v>
      </c>
      <c r="D3" s="173">
        <f>SUM(D4:D6)</f>
        <v>4344776</v>
      </c>
      <c r="E3" s="173">
        <f>SUM(E4:E6)</f>
        <v>4357836.7</v>
      </c>
      <c r="F3" s="173">
        <f>SUM(F4:F6)</f>
        <v>4598383</v>
      </c>
    </row>
    <row r="4" spans="1:8" x14ac:dyDescent="0.35">
      <c r="A4" s="89"/>
      <c r="B4" s="89" t="s">
        <v>7</v>
      </c>
      <c r="C4" s="90">
        <f>'EELARVE '!G5</f>
        <v>3704199</v>
      </c>
      <c r="D4" s="90">
        <f>'EELARVE '!H5</f>
        <v>4020116</v>
      </c>
      <c r="E4" s="90">
        <f>'EELARVE '!I5</f>
        <v>4021112</v>
      </c>
      <c r="F4" s="90">
        <f>'EELARVE '!J5</f>
        <v>4273383</v>
      </c>
    </row>
    <row r="5" spans="1:8" x14ac:dyDescent="0.35">
      <c r="A5" s="89"/>
      <c r="B5" s="89" t="s">
        <v>8</v>
      </c>
      <c r="C5" s="90">
        <f>'EELARVE '!G6</f>
        <v>321363</v>
      </c>
      <c r="D5" s="90">
        <f>'EELARVE '!H6</f>
        <v>318000</v>
      </c>
      <c r="E5" s="90">
        <f>'EELARVE '!I6</f>
        <v>330253.94</v>
      </c>
      <c r="F5" s="90">
        <f>'EELARVE '!J6</f>
        <v>320000</v>
      </c>
    </row>
    <row r="6" spans="1:8" x14ac:dyDescent="0.35">
      <c r="A6" s="89"/>
      <c r="B6" s="89" t="s">
        <v>9</v>
      </c>
      <c r="C6" s="90">
        <f>'EELARVE '!G7</f>
        <v>4402</v>
      </c>
      <c r="D6" s="90">
        <f>'EELARVE '!H7</f>
        <v>6660</v>
      </c>
      <c r="E6" s="90">
        <f>'EELARVE '!I7</f>
        <v>6470.76</v>
      </c>
      <c r="F6" s="90">
        <f>'EELARVE '!J7</f>
        <v>5000</v>
      </c>
    </row>
    <row r="7" spans="1:8" x14ac:dyDescent="0.35">
      <c r="A7" s="172">
        <v>32</v>
      </c>
      <c r="B7" s="172" t="s">
        <v>10</v>
      </c>
      <c r="C7" s="173">
        <f>'EELARVE '!G8</f>
        <v>200715</v>
      </c>
      <c r="D7" s="173">
        <f>'EELARVE '!H8</f>
        <v>221509</v>
      </c>
      <c r="E7" s="173">
        <f>'EELARVE '!I8</f>
        <v>266022.8</v>
      </c>
      <c r="F7" s="173">
        <f>'EELARVE '!J8</f>
        <v>205000</v>
      </c>
    </row>
    <row r="8" spans="1:8" x14ac:dyDescent="0.35">
      <c r="A8" s="172">
        <v>35</v>
      </c>
      <c r="B8" s="172" t="s">
        <v>11</v>
      </c>
      <c r="C8" s="173">
        <f>SUM(C9:C11)</f>
        <v>1420459</v>
      </c>
      <c r="D8" s="173">
        <f>SUM(D9:D11)</f>
        <v>1477549</v>
      </c>
      <c r="E8" s="173">
        <f>SUM(E9:E11)</f>
        <v>1476234.99</v>
      </c>
      <c r="F8" s="173">
        <f>SUM(F9:F11)</f>
        <v>1475873</v>
      </c>
    </row>
    <row r="9" spans="1:8" x14ac:dyDescent="0.35">
      <c r="A9" s="89"/>
      <c r="B9" s="89" t="s">
        <v>12</v>
      </c>
      <c r="C9" s="90">
        <f>'EELARVE '!G45</f>
        <v>119866</v>
      </c>
      <c r="D9" s="90">
        <f>'EELARVE '!H45</f>
        <v>113652</v>
      </c>
      <c r="E9" s="90">
        <f>'EELARVE '!I45</f>
        <v>113652</v>
      </c>
      <c r="F9" s="90">
        <f>'EELARVE '!J45</f>
        <v>113652</v>
      </c>
    </row>
    <row r="10" spans="1:8" x14ac:dyDescent="0.35">
      <c r="A10" s="89"/>
      <c r="B10" s="89" t="s">
        <v>13</v>
      </c>
      <c r="C10" s="90">
        <f>'EELARVE '!G26</f>
        <v>1250549</v>
      </c>
      <c r="D10" s="90">
        <f>'EELARVE '!H26</f>
        <v>1296755</v>
      </c>
      <c r="E10" s="90">
        <f>'EELARVE '!I26</f>
        <v>1307640</v>
      </c>
      <c r="F10" s="90">
        <f>'EELARVE '!J26</f>
        <v>1312221</v>
      </c>
    </row>
    <row r="11" spans="1:8" x14ac:dyDescent="0.35">
      <c r="A11" s="89"/>
      <c r="B11" s="174" t="s">
        <v>14</v>
      </c>
      <c r="C11" s="90">
        <f>'EELARVE '!G24</f>
        <v>50044</v>
      </c>
      <c r="D11" s="90">
        <f>'EELARVE '!H24</f>
        <v>67142</v>
      </c>
      <c r="E11" s="90">
        <f>'EELARVE '!I24</f>
        <v>54942.99</v>
      </c>
      <c r="F11" s="90">
        <f>'EELARVE '!J24</f>
        <v>50000</v>
      </c>
    </row>
    <row r="12" spans="1:8" x14ac:dyDescent="0.35">
      <c r="A12" s="172">
        <v>38</v>
      </c>
      <c r="B12" s="172" t="s">
        <v>15</v>
      </c>
      <c r="C12" s="173">
        <f>'EELARVE '!G46</f>
        <v>24778</v>
      </c>
      <c r="D12" s="173">
        <f>'EELARVE '!H46</f>
        <v>25000</v>
      </c>
      <c r="E12" s="173">
        <f>'EELARVE '!I46</f>
        <v>11079.77</v>
      </c>
      <c r="F12" s="173">
        <f>'EELARVE '!J46</f>
        <v>28714</v>
      </c>
    </row>
    <row r="13" spans="1:8" ht="15.5" x14ac:dyDescent="0.35">
      <c r="A13" s="180"/>
      <c r="B13" s="180" t="s">
        <v>16</v>
      </c>
      <c r="C13" s="181">
        <f t="shared" ref="C13:D13" si="1">C14+C15</f>
        <v>-5233044</v>
      </c>
      <c r="D13" s="181">
        <f t="shared" si="1"/>
        <v>-6055420</v>
      </c>
      <c r="E13" s="181">
        <f>E14+E15</f>
        <v>-5715925.8399999999</v>
      </c>
      <c r="F13" s="181">
        <f>F14+F15</f>
        <v>-6216649.04</v>
      </c>
    </row>
    <row r="14" spans="1:8" x14ac:dyDescent="0.35">
      <c r="A14" s="89">
        <v>41.45</v>
      </c>
      <c r="B14" s="89" t="s">
        <v>17</v>
      </c>
      <c r="C14" s="90">
        <v>-290773</v>
      </c>
      <c r="D14" s="90">
        <v>-328610</v>
      </c>
      <c r="E14" s="227">
        <v>-309913.32</v>
      </c>
      <c r="F14" s="228">
        <v>-340670</v>
      </c>
    </row>
    <row r="15" spans="1:8" x14ac:dyDescent="0.35">
      <c r="A15" s="89"/>
      <c r="B15" s="89" t="s">
        <v>18</v>
      </c>
      <c r="C15" s="90">
        <f t="shared" ref="C15" si="2">SUM(C16:C18)</f>
        <v>-4942271</v>
      </c>
      <c r="D15" s="90">
        <f>SUM(D16:D18)</f>
        <v>-5726810</v>
      </c>
      <c r="E15" s="373">
        <f>SUM(E16:E18)</f>
        <v>-5406012.5199999996</v>
      </c>
      <c r="F15" s="228">
        <f>SUM(F16:F18)</f>
        <v>-5875979.04</v>
      </c>
    </row>
    <row r="16" spans="1:8" x14ac:dyDescent="0.35">
      <c r="A16" s="175">
        <v>50</v>
      </c>
      <c r="B16" s="89" t="s">
        <v>19</v>
      </c>
      <c r="C16" s="90">
        <v>-2808204</v>
      </c>
      <c r="D16" s="90">
        <v>-3152972</v>
      </c>
      <c r="E16" s="90">
        <v>-3095310.4</v>
      </c>
      <c r="F16" s="371">
        <v>-3300768.04</v>
      </c>
      <c r="G16" s="225"/>
      <c r="H16" s="226"/>
    </row>
    <row r="17" spans="1:8" x14ac:dyDescent="0.35">
      <c r="A17" s="175">
        <v>55</v>
      </c>
      <c r="B17" s="89" t="s">
        <v>20</v>
      </c>
      <c r="C17" s="90">
        <v>-2134067</v>
      </c>
      <c r="D17" s="90">
        <v>-2513338</v>
      </c>
      <c r="E17" s="90">
        <v>-2289640.12</v>
      </c>
      <c r="F17" s="372">
        <v>-2511641</v>
      </c>
      <c r="H17" s="224"/>
    </row>
    <row r="18" spans="1:8" x14ac:dyDescent="0.35">
      <c r="A18" s="175">
        <v>60</v>
      </c>
      <c r="B18" s="89" t="s">
        <v>21</v>
      </c>
      <c r="C18" s="90">
        <v>0</v>
      </c>
      <c r="D18" s="90">
        <v>-60500</v>
      </c>
      <c r="E18" s="90">
        <v>-21062</v>
      </c>
      <c r="F18" s="372">
        <v>-63570</v>
      </c>
      <c r="H18" s="226"/>
    </row>
    <row r="19" spans="1:8" ht="15.5" x14ac:dyDescent="0.35">
      <c r="A19" s="176"/>
      <c r="B19" s="171" t="s">
        <v>22</v>
      </c>
      <c r="C19" s="23">
        <f t="shared" ref="C19" si="3">C2+C13</f>
        <v>442872</v>
      </c>
      <c r="D19" s="23">
        <f>D2+D13</f>
        <v>13414</v>
      </c>
      <c r="E19" s="23">
        <f>E2+E13</f>
        <v>395248.41999999993</v>
      </c>
      <c r="F19" s="23">
        <f>F2+F13</f>
        <v>91320.959999999963</v>
      </c>
    </row>
    <row r="20" spans="1:8" ht="16" customHeight="1" x14ac:dyDescent="0.35">
      <c r="A20" s="181"/>
      <c r="B20" s="180" t="s">
        <v>23</v>
      </c>
      <c r="C20" s="181">
        <f t="shared" ref="C20" si="4">SUM(C21:C27)</f>
        <v>-188350</v>
      </c>
      <c r="D20" s="181">
        <f>SUM(D21:D27)</f>
        <v>-369860</v>
      </c>
      <c r="E20" s="181">
        <f>SUM(E21:E27)</f>
        <v>-120034.47</v>
      </c>
      <c r="F20" s="181">
        <f>SUM(F21:F27)</f>
        <v>-1530350</v>
      </c>
    </row>
    <row r="21" spans="1:8" x14ac:dyDescent="0.35">
      <c r="A21" s="175">
        <v>381</v>
      </c>
      <c r="B21" s="89" t="s">
        <v>24</v>
      </c>
      <c r="C21" s="90">
        <f>'EELARVE '!G554</f>
        <v>350</v>
      </c>
      <c r="D21" s="90">
        <f>'EELARVE '!H554</f>
        <v>40000</v>
      </c>
      <c r="E21" s="90">
        <f>'EELARVE '!I554</f>
        <v>22251</v>
      </c>
      <c r="F21" s="90">
        <f>'EELARVE '!J554</f>
        <v>200000</v>
      </c>
    </row>
    <row r="22" spans="1:8" x14ac:dyDescent="0.35">
      <c r="A22" s="175">
        <v>15</v>
      </c>
      <c r="B22" s="89" t="s">
        <v>25</v>
      </c>
      <c r="C22" s="90">
        <f>'EELARVE '!G558</f>
        <v>-533969</v>
      </c>
      <c r="D22" s="90">
        <f>'EELARVE '!H558</f>
        <v>-501000</v>
      </c>
      <c r="E22" s="90">
        <f>'EELARVE '!I558</f>
        <v>-113734.6</v>
      </c>
      <c r="F22" s="90">
        <f>'EELARVE '!J558</f>
        <v>-2854857</v>
      </c>
    </row>
    <row r="23" spans="1:8" x14ac:dyDescent="0.35">
      <c r="A23" s="175">
        <v>1502</v>
      </c>
      <c r="B23" s="89" t="s">
        <v>26</v>
      </c>
      <c r="C23" s="90">
        <v>-235300</v>
      </c>
      <c r="D23" s="90">
        <f>'EELARVE '!H614</f>
        <v>-86000</v>
      </c>
      <c r="E23" s="90">
        <f>'EELARVE '!I614</f>
        <v>-86000</v>
      </c>
      <c r="F23" s="90">
        <f>'EELARVE '!J614</f>
        <v>-86000</v>
      </c>
    </row>
    <row r="24" spans="1:8" x14ac:dyDescent="0.35">
      <c r="A24" s="175">
        <v>3502</v>
      </c>
      <c r="B24" s="89" t="s">
        <v>27</v>
      </c>
      <c r="C24" s="90">
        <v>673534</v>
      </c>
      <c r="D24" s="90">
        <f>'EELARVE '!H586</f>
        <v>287090</v>
      </c>
      <c r="E24" s="90">
        <f>'EELARVE '!I586</f>
        <v>149385</v>
      </c>
      <c r="F24" s="90">
        <f>'EELARVE '!J586</f>
        <v>1346457</v>
      </c>
    </row>
    <row r="25" spans="1:8" x14ac:dyDescent="0.35">
      <c r="A25" s="89">
        <v>4502</v>
      </c>
      <c r="B25" s="175" t="s">
        <v>28</v>
      </c>
      <c r="C25" s="90">
        <v>-80493</v>
      </c>
      <c r="D25" s="90">
        <f>'EELARVE '!H602</f>
        <v>-95000</v>
      </c>
      <c r="E25" s="90">
        <f>'EELARVE '!I602</f>
        <v>-82149.72</v>
      </c>
      <c r="F25" s="90">
        <f>'EELARVE '!J602</f>
        <v>-105000</v>
      </c>
    </row>
    <row r="26" spans="1:8" x14ac:dyDescent="0.35">
      <c r="A26" s="175">
        <v>382</v>
      </c>
      <c r="B26" s="89" t="s">
        <v>29</v>
      </c>
      <c r="C26" s="90">
        <f>'EELARVE '!G616</f>
        <v>40</v>
      </c>
      <c r="D26" s="90">
        <f>'EELARVE '!H616</f>
        <v>50</v>
      </c>
      <c r="E26" s="90">
        <f>'EELARVE '!I616</f>
        <v>67.81</v>
      </c>
      <c r="F26" s="90">
        <f>'EELARVE '!J616</f>
        <v>50</v>
      </c>
    </row>
    <row r="27" spans="1:8" x14ac:dyDescent="0.35">
      <c r="A27" s="175">
        <v>65</v>
      </c>
      <c r="B27" s="89" t="s">
        <v>30</v>
      </c>
      <c r="C27" s="90">
        <f>'EELARVE '!G615</f>
        <v>-12512</v>
      </c>
      <c r="D27" s="90">
        <f>'EELARVE '!H615</f>
        <v>-15000</v>
      </c>
      <c r="E27" s="90">
        <f>'EELARVE '!I615</f>
        <v>-9853.9599999999991</v>
      </c>
      <c r="F27" s="90">
        <f>'EELARVE '!J615</f>
        <v>-31000</v>
      </c>
    </row>
    <row r="28" spans="1:8" ht="30.5" x14ac:dyDescent="0.35">
      <c r="A28" s="176"/>
      <c r="B28" s="171" t="s">
        <v>31</v>
      </c>
      <c r="C28" s="23">
        <f t="shared" ref="C28" si="5">SUM(C19:C20)</f>
        <v>254522</v>
      </c>
      <c r="D28" s="23">
        <f>SUM(D19:D20)</f>
        <v>-356446</v>
      </c>
      <c r="E28" s="23">
        <f>SUM(E19:E20)</f>
        <v>275213.94999999995</v>
      </c>
      <c r="F28" s="23">
        <f>SUM(F19:F20)</f>
        <v>-1439029.04</v>
      </c>
    </row>
    <row r="29" spans="1:8" ht="15.5" x14ac:dyDescent="0.35">
      <c r="A29" s="180"/>
      <c r="B29" s="180" t="s">
        <v>32</v>
      </c>
      <c r="C29" s="181">
        <f t="shared" ref="C29:F29" si="6">C30+C31</f>
        <v>-192843</v>
      </c>
      <c r="D29" s="181">
        <f t="shared" si="6"/>
        <v>-161314</v>
      </c>
      <c r="E29" s="181">
        <f>E30+E31</f>
        <v>-164876.92000000001</v>
      </c>
      <c r="F29" s="181">
        <f t="shared" si="6"/>
        <v>1300000</v>
      </c>
    </row>
    <row r="30" spans="1:8" x14ac:dyDescent="0.35">
      <c r="A30" s="89">
        <v>2585</v>
      </c>
      <c r="B30" s="89" t="s">
        <v>33</v>
      </c>
      <c r="C30" s="173">
        <f t="shared" ref="C30" si="7">C386</f>
        <v>0</v>
      </c>
      <c r="D30" s="90">
        <v>0</v>
      </c>
      <c r="E30" s="90">
        <f>'EELARVE '!I624</f>
        <v>0</v>
      </c>
      <c r="F30" s="90">
        <f>'EELARVE '!J624</f>
        <v>1457000</v>
      </c>
    </row>
    <row r="31" spans="1:8" x14ac:dyDescent="0.35">
      <c r="A31" s="91" t="s">
        <v>34</v>
      </c>
      <c r="B31" s="177" t="s">
        <v>35</v>
      </c>
      <c r="C31" s="90">
        <f>'EELARVE '!G623</f>
        <v>-192843</v>
      </c>
      <c r="D31" s="90">
        <v>-161314</v>
      </c>
      <c r="E31" s="90">
        <f>'EELARVE '!I625</f>
        <v>-164876.92000000001</v>
      </c>
      <c r="F31" s="90">
        <f>'EELARVE '!J625</f>
        <v>-157000</v>
      </c>
    </row>
    <row r="32" spans="1:8" ht="30.5" x14ac:dyDescent="0.35">
      <c r="A32" s="178"/>
      <c r="B32" s="179" t="s">
        <v>36</v>
      </c>
      <c r="C32" s="23">
        <f t="shared" ref="C32" si="8">C28+C29</f>
        <v>61679</v>
      </c>
      <c r="D32" s="23">
        <f>D28+D29+D33</f>
        <v>-271583</v>
      </c>
      <c r="E32" s="23">
        <f>E28+E29+E33</f>
        <v>53494.029999999941</v>
      </c>
      <c r="F32" s="23">
        <f>F28+F29+F33</f>
        <v>-139029.04000000004</v>
      </c>
    </row>
    <row r="33" spans="2:6" s="116" customFormat="1" ht="14" x14ac:dyDescent="0.3">
      <c r="B33" s="116" t="s">
        <v>413</v>
      </c>
      <c r="D33" s="116">
        <v>246177</v>
      </c>
      <c r="E33" s="116">
        <v>-56843</v>
      </c>
      <c r="F33" s="116">
        <v>0</v>
      </c>
    </row>
  </sheetData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DN1100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496" sqref="H496"/>
    </sheetView>
  </sheetViews>
  <sheetFormatPr defaultColWidth="9.1796875" defaultRowHeight="14" x14ac:dyDescent="0.3"/>
  <cols>
    <col min="1" max="1" width="9.1796875" style="116"/>
    <col min="2" max="2" width="45.54296875" style="116" customWidth="1"/>
    <col min="3" max="4" width="10.54296875" style="117" hidden="1" customWidth="1"/>
    <col min="5" max="5" width="10.81640625" style="139" hidden="1" customWidth="1"/>
    <col min="6" max="6" width="10.7265625" style="116" hidden="1" customWidth="1"/>
    <col min="7" max="7" width="12.54296875" style="116" customWidth="1"/>
    <col min="8" max="9" width="12.7265625" style="116" customWidth="1"/>
    <col min="10" max="10" width="14.81640625" style="197" customWidth="1"/>
    <col min="11" max="11" width="10.26953125" style="116" bestFit="1" customWidth="1"/>
    <col min="12" max="12" width="9.81640625" style="139" bestFit="1" customWidth="1"/>
    <col min="13" max="13" width="9.26953125" style="116" hidden="1" customWidth="1"/>
    <col min="14" max="14" width="11.7265625" style="241" hidden="1" customWidth="1"/>
    <col min="15" max="16" width="9.1796875" style="116"/>
    <col min="17" max="17" width="9.81640625" style="116" bestFit="1" customWidth="1"/>
    <col min="18" max="16384" width="9.1796875" style="116"/>
  </cols>
  <sheetData>
    <row r="1" spans="1:13" ht="75" x14ac:dyDescent="0.3">
      <c r="A1" s="1" t="s">
        <v>0</v>
      </c>
      <c r="B1" s="2" t="s">
        <v>37</v>
      </c>
      <c r="C1" s="3" t="s">
        <v>38</v>
      </c>
      <c r="D1" s="3" t="s">
        <v>39</v>
      </c>
      <c r="E1" s="125" t="s">
        <v>40</v>
      </c>
      <c r="F1" s="3" t="s">
        <v>41</v>
      </c>
      <c r="G1" s="154" t="s">
        <v>42</v>
      </c>
      <c r="H1" s="154" t="s">
        <v>43</v>
      </c>
      <c r="I1" s="154" t="s">
        <v>44</v>
      </c>
      <c r="J1" s="204" t="s">
        <v>45</v>
      </c>
      <c r="K1" s="287"/>
    </row>
    <row r="2" spans="1:13" ht="15" x14ac:dyDescent="0.3">
      <c r="A2" s="1"/>
      <c r="B2" s="4" t="s">
        <v>46</v>
      </c>
      <c r="C2" s="94"/>
      <c r="D2" s="94"/>
      <c r="E2" s="125"/>
      <c r="F2" s="3"/>
    </row>
    <row r="3" spans="1:13" x14ac:dyDescent="0.3">
      <c r="A3" s="5"/>
      <c r="B3" s="6" t="s">
        <v>47</v>
      </c>
      <c r="C3" s="7">
        <f t="shared" ref="C3:J3" si="0">SUM(C4+C8+C23+C46)</f>
        <v>2558978</v>
      </c>
      <c r="D3" s="7">
        <f t="shared" si="0"/>
        <v>2121047</v>
      </c>
      <c r="E3" s="126">
        <f t="shared" si="0"/>
        <v>2815514</v>
      </c>
      <c r="F3" s="7">
        <f t="shared" si="0"/>
        <v>2533874</v>
      </c>
      <c r="G3" s="7">
        <f t="shared" si="0"/>
        <v>5675916</v>
      </c>
      <c r="H3" s="7">
        <f t="shared" si="0"/>
        <v>6068834</v>
      </c>
      <c r="I3" s="7">
        <f t="shared" si="0"/>
        <v>6111174.2599999998</v>
      </c>
      <c r="J3" s="198">
        <f t="shared" si="0"/>
        <v>6307970</v>
      </c>
    </row>
    <row r="4" spans="1:13" x14ac:dyDescent="0.3">
      <c r="A4" s="1"/>
      <c r="B4" s="8" t="s">
        <v>49</v>
      </c>
      <c r="C4" s="9">
        <f t="shared" ref="C4:F4" si="1">SUM(C5:C7)</f>
        <v>1650843</v>
      </c>
      <c r="D4" s="9">
        <f t="shared" si="1"/>
        <v>1710353</v>
      </c>
      <c r="E4" s="127">
        <f t="shared" si="1"/>
        <v>1783463</v>
      </c>
      <c r="F4" s="9">
        <f t="shared" si="1"/>
        <v>1872510</v>
      </c>
      <c r="G4" s="9">
        <f>SUM(G5:G7)</f>
        <v>4029964</v>
      </c>
      <c r="H4" s="9">
        <f>SUM(H5:H7)</f>
        <v>4344776</v>
      </c>
      <c r="I4" s="9">
        <f>SUM(I5:I7)</f>
        <v>4357836.7</v>
      </c>
      <c r="J4" s="194">
        <f>SUM(J5:J7)</f>
        <v>4598383</v>
      </c>
    </row>
    <row r="5" spans="1:13" x14ac:dyDescent="0.3">
      <c r="A5" s="10">
        <v>3000</v>
      </c>
      <c r="B5" s="11" t="s">
        <v>50</v>
      </c>
      <c r="C5" s="12">
        <v>1571700</v>
      </c>
      <c r="D5" s="12">
        <v>1480742</v>
      </c>
      <c r="E5" s="128">
        <v>1695123</v>
      </c>
      <c r="F5" s="12">
        <v>1642074</v>
      </c>
      <c r="G5" s="13">
        <v>3704199</v>
      </c>
      <c r="H5" s="13">
        <v>4020116</v>
      </c>
      <c r="I5" s="13">
        <v>4021112</v>
      </c>
      <c r="J5" s="202">
        <v>4273383</v>
      </c>
    </row>
    <row r="6" spans="1:13" x14ac:dyDescent="0.3">
      <c r="A6" s="10">
        <v>3030</v>
      </c>
      <c r="B6" s="11" t="s">
        <v>51</v>
      </c>
      <c r="C6" s="12">
        <v>75427</v>
      </c>
      <c r="D6" s="12">
        <v>229611</v>
      </c>
      <c r="E6" s="128">
        <v>84140</v>
      </c>
      <c r="F6" s="12">
        <v>230436</v>
      </c>
      <c r="G6" s="145">
        <v>321363</v>
      </c>
      <c r="H6" s="145">
        <v>318000</v>
      </c>
      <c r="I6" s="145">
        <v>330253.94</v>
      </c>
      <c r="J6" s="202">
        <v>320000</v>
      </c>
    </row>
    <row r="7" spans="1:13" x14ac:dyDescent="0.3">
      <c r="A7" s="10">
        <v>3044</v>
      </c>
      <c r="B7" s="11" t="s">
        <v>52</v>
      </c>
      <c r="C7" s="12">
        <v>3716</v>
      </c>
      <c r="D7" s="12">
        <v>0</v>
      </c>
      <c r="E7" s="128">
        <v>4200</v>
      </c>
      <c r="F7" s="12">
        <v>0</v>
      </c>
      <c r="G7" s="145">
        <v>4402</v>
      </c>
      <c r="H7" s="48">
        <f>5000+1660</f>
        <v>6660</v>
      </c>
      <c r="I7" s="145">
        <v>6470.76</v>
      </c>
      <c r="J7" s="202">
        <v>5000</v>
      </c>
      <c r="K7" s="293"/>
      <c r="M7" s="139"/>
    </row>
    <row r="8" spans="1:13" x14ac:dyDescent="0.3">
      <c r="A8" s="1"/>
      <c r="B8" s="8" t="s">
        <v>53</v>
      </c>
      <c r="C8" s="9">
        <f t="shared" ref="C8" si="2">C9+C10+C17</f>
        <v>159520</v>
      </c>
      <c r="D8" s="9">
        <f t="shared" ref="D8:F8" si="3">D9+D10+D17</f>
        <v>104883</v>
      </c>
      <c r="E8" s="127">
        <f t="shared" si="3"/>
        <v>198252</v>
      </c>
      <c r="F8" s="9">
        <f t="shared" si="3"/>
        <v>157861</v>
      </c>
      <c r="G8" s="9">
        <f>G9+G10+G17</f>
        <v>200715</v>
      </c>
      <c r="H8" s="9">
        <f t="shared" ref="H8" si="4">H9+H10+H17</f>
        <v>221509</v>
      </c>
      <c r="I8" s="9">
        <f>I9+I10+I17</f>
        <v>266022.8</v>
      </c>
      <c r="J8" s="194">
        <f>J9+J10+J17</f>
        <v>205000</v>
      </c>
    </row>
    <row r="9" spans="1:13" x14ac:dyDescent="0.3">
      <c r="A9" s="14">
        <v>320</v>
      </c>
      <c r="B9" s="15" t="s">
        <v>54</v>
      </c>
      <c r="C9" s="16">
        <v>3443</v>
      </c>
      <c r="D9" s="16">
        <v>8295</v>
      </c>
      <c r="E9" s="129">
        <v>5735</v>
      </c>
      <c r="F9" s="16">
        <v>8329</v>
      </c>
      <c r="G9" s="16">
        <v>13175</v>
      </c>
      <c r="H9" s="16">
        <v>13500</v>
      </c>
      <c r="I9" s="16">
        <v>14655</v>
      </c>
      <c r="J9" s="202">
        <v>13500</v>
      </c>
    </row>
    <row r="10" spans="1:13" ht="14.5" x14ac:dyDescent="0.35">
      <c r="A10" s="14">
        <v>322</v>
      </c>
      <c r="B10" s="15" t="s">
        <v>55</v>
      </c>
      <c r="C10" s="16">
        <f t="shared" ref="C10:F10" si="5">SUM(C11:C16)</f>
        <v>149221</v>
      </c>
      <c r="D10" s="16">
        <f t="shared" si="5"/>
        <v>93410</v>
      </c>
      <c r="E10" s="129">
        <f t="shared" si="5"/>
        <v>186259</v>
      </c>
      <c r="F10" s="16">
        <f t="shared" si="5"/>
        <v>149532</v>
      </c>
      <c r="G10" s="129">
        <f>SUM(G11:G16)</f>
        <v>175278</v>
      </c>
      <c r="H10" s="129">
        <f>SUM(H11:H16)</f>
        <v>158500</v>
      </c>
      <c r="I10" s="129">
        <f>SUM(I11:I16)</f>
        <v>193266.56</v>
      </c>
      <c r="J10" s="199">
        <f>SUM(J11:J16)</f>
        <v>161000</v>
      </c>
    </row>
    <row r="11" spans="1:13" x14ac:dyDescent="0.3">
      <c r="A11" s="10">
        <v>3220</v>
      </c>
      <c r="B11" s="11" t="s">
        <v>56</v>
      </c>
      <c r="C11" s="12">
        <v>132265</v>
      </c>
      <c r="D11" s="12">
        <v>64333</v>
      </c>
      <c r="E11" s="128">
        <v>166209</v>
      </c>
      <c r="F11" s="12">
        <v>62274</v>
      </c>
      <c r="G11" s="128">
        <v>141571</v>
      </c>
      <c r="H11" s="128">
        <v>130000</v>
      </c>
      <c r="I11" s="128">
        <v>140999.92000000001</v>
      </c>
      <c r="J11" s="202">
        <v>130000</v>
      </c>
      <c r="K11" s="294"/>
      <c r="L11" s="294"/>
    </row>
    <row r="12" spans="1:13" x14ac:dyDescent="0.3">
      <c r="A12" s="10">
        <v>3221</v>
      </c>
      <c r="B12" s="11" t="s">
        <v>57</v>
      </c>
      <c r="C12" s="12">
        <v>12295</v>
      </c>
      <c r="D12" s="12">
        <v>60</v>
      </c>
      <c r="E12" s="128">
        <v>13855</v>
      </c>
      <c r="F12" s="12">
        <v>0</v>
      </c>
      <c r="G12" s="151">
        <v>11849</v>
      </c>
      <c r="H12" s="151">
        <v>15000</v>
      </c>
      <c r="I12" s="151">
        <v>15060</v>
      </c>
      <c r="J12" s="361">
        <v>16000</v>
      </c>
      <c r="K12" s="294"/>
      <c r="L12" s="294"/>
    </row>
    <row r="13" spans="1:13" x14ac:dyDescent="0.3">
      <c r="A13" s="10">
        <v>3222</v>
      </c>
      <c r="B13" s="11" t="s">
        <v>58</v>
      </c>
      <c r="C13" s="12">
        <v>2745</v>
      </c>
      <c r="D13" s="12">
        <v>10765</v>
      </c>
      <c r="E13" s="128">
        <v>3800</v>
      </c>
      <c r="F13" s="12">
        <v>11564</v>
      </c>
      <c r="G13" s="151">
        <v>14748</v>
      </c>
      <c r="H13" s="151">
        <v>13500</v>
      </c>
      <c r="I13" s="151">
        <v>15208.01</v>
      </c>
      <c r="J13" s="361">
        <v>15000</v>
      </c>
      <c r="K13" s="294"/>
      <c r="L13" s="294"/>
    </row>
    <row r="14" spans="1:13" x14ac:dyDescent="0.3">
      <c r="A14" s="10">
        <v>3224</v>
      </c>
      <c r="B14" s="11" t="s">
        <v>59</v>
      </c>
      <c r="C14" s="12">
        <v>0</v>
      </c>
      <c r="D14" s="12">
        <v>882</v>
      </c>
      <c r="E14" s="128">
        <v>0</v>
      </c>
      <c r="F14" s="12">
        <v>4225</v>
      </c>
      <c r="G14" s="153">
        <v>0</v>
      </c>
      <c r="H14" s="153">
        <v>0</v>
      </c>
      <c r="I14" s="153">
        <v>2518.8000000000002</v>
      </c>
      <c r="J14" s="358"/>
    </row>
    <row r="15" spans="1:13" x14ac:dyDescent="0.3">
      <c r="A15" s="10">
        <v>3225</v>
      </c>
      <c r="B15" s="11" t="s">
        <v>60</v>
      </c>
      <c r="C15" s="12">
        <v>1916</v>
      </c>
      <c r="D15" s="12">
        <v>14905</v>
      </c>
      <c r="E15" s="128">
        <v>2395</v>
      </c>
      <c r="F15" s="12">
        <v>67272</v>
      </c>
      <c r="G15" s="145">
        <v>7110</v>
      </c>
      <c r="H15" s="145">
        <v>0</v>
      </c>
      <c r="I15" s="145">
        <v>19479.830000000002</v>
      </c>
      <c r="J15" s="202"/>
    </row>
    <row r="16" spans="1:13" x14ac:dyDescent="0.3">
      <c r="A16" s="10">
        <v>3229</v>
      </c>
      <c r="B16" s="11" t="s">
        <v>61</v>
      </c>
      <c r="C16" s="12">
        <v>0</v>
      </c>
      <c r="D16" s="12">
        <v>2465</v>
      </c>
      <c r="E16" s="128">
        <v>0</v>
      </c>
      <c r="F16" s="12">
        <v>4197</v>
      </c>
      <c r="G16" s="145">
        <v>0</v>
      </c>
      <c r="H16" s="145">
        <v>0</v>
      </c>
      <c r="I16" s="145"/>
      <c r="J16" s="202"/>
    </row>
    <row r="17" spans="1:13" ht="14.5" x14ac:dyDescent="0.35">
      <c r="A17" s="14">
        <v>323</v>
      </c>
      <c r="B17" s="15" t="s">
        <v>62</v>
      </c>
      <c r="C17" s="16">
        <f>SUM(C18:C22)</f>
        <v>6856</v>
      </c>
      <c r="D17" s="16">
        <f>SUM(D18:D22)</f>
        <v>3178</v>
      </c>
      <c r="E17" s="129">
        <f>SUM(E18:E22)</f>
        <v>6258</v>
      </c>
      <c r="F17" s="16"/>
      <c r="G17" s="16">
        <f>SUM(G18:G22)</f>
        <v>12262</v>
      </c>
      <c r="H17" s="16">
        <f>SUM(H18:H22)</f>
        <v>49509</v>
      </c>
      <c r="I17" s="16">
        <f>SUM(I18:I22)</f>
        <v>58101.24</v>
      </c>
      <c r="J17" s="199">
        <f>SUM(J18:J22)</f>
        <v>30500</v>
      </c>
    </row>
    <row r="18" spans="1:13" x14ac:dyDescent="0.3">
      <c r="A18" s="10">
        <v>3230</v>
      </c>
      <c r="B18" s="11" t="s">
        <v>63</v>
      </c>
      <c r="C18" s="12">
        <v>0</v>
      </c>
      <c r="D18" s="12">
        <v>354</v>
      </c>
      <c r="E18" s="128">
        <v>0</v>
      </c>
      <c r="F18" s="12">
        <v>4985</v>
      </c>
      <c r="G18" s="146">
        <v>0</v>
      </c>
      <c r="H18" s="146">
        <v>0</v>
      </c>
      <c r="I18" s="146"/>
      <c r="J18" s="202"/>
    </row>
    <row r="19" spans="1:13" x14ac:dyDescent="0.3">
      <c r="A19" s="10">
        <v>3232</v>
      </c>
      <c r="B19" s="11" t="s">
        <v>64</v>
      </c>
      <c r="C19" s="12">
        <v>0</v>
      </c>
      <c r="D19" s="12">
        <v>293</v>
      </c>
      <c r="E19" s="128">
        <v>0</v>
      </c>
      <c r="F19" s="12">
        <v>347</v>
      </c>
      <c r="G19" s="145">
        <v>3145</v>
      </c>
      <c r="H19" s="145">
        <v>0</v>
      </c>
      <c r="I19" s="145">
        <v>3657.67</v>
      </c>
      <c r="J19" s="202"/>
    </row>
    <row r="20" spans="1:13" x14ac:dyDescent="0.3">
      <c r="A20" s="10">
        <v>3233</v>
      </c>
      <c r="B20" s="11" t="s">
        <v>65</v>
      </c>
      <c r="C20" s="12">
        <v>6549</v>
      </c>
      <c r="D20" s="12">
        <v>2531</v>
      </c>
      <c r="E20" s="128">
        <v>5645</v>
      </c>
      <c r="F20" s="12">
        <v>1743</v>
      </c>
      <c r="G20" s="146">
        <v>9117</v>
      </c>
      <c r="H20" s="145">
        <v>16000</v>
      </c>
      <c r="I20" s="145">
        <v>18508.68</v>
      </c>
      <c r="J20" s="202">
        <v>10000</v>
      </c>
      <c r="M20" s="139"/>
    </row>
    <row r="21" spans="1:13" x14ac:dyDescent="0.3">
      <c r="A21" s="10">
        <v>3237</v>
      </c>
      <c r="B21" s="11" t="s">
        <v>66</v>
      </c>
      <c r="C21" s="12"/>
      <c r="D21" s="12"/>
      <c r="E21" s="128"/>
      <c r="F21" s="12"/>
      <c r="G21" s="146">
        <v>0</v>
      </c>
      <c r="H21" s="48">
        <f>30000+2509</f>
        <v>32509</v>
      </c>
      <c r="I21" s="145">
        <v>32509</v>
      </c>
      <c r="J21" s="202">
        <v>20000</v>
      </c>
      <c r="K21" s="293"/>
      <c r="M21" s="139"/>
    </row>
    <row r="22" spans="1:13" x14ac:dyDescent="0.3">
      <c r="A22" s="10">
        <v>3238</v>
      </c>
      <c r="B22" s="11" t="s">
        <v>67</v>
      </c>
      <c r="C22" s="12">
        <v>307</v>
      </c>
      <c r="D22" s="12">
        <v>0</v>
      </c>
      <c r="E22" s="128">
        <v>613</v>
      </c>
      <c r="F22" s="12">
        <v>0</v>
      </c>
      <c r="G22" s="146">
        <v>0</v>
      </c>
      <c r="H22" s="146">
        <v>1000</v>
      </c>
      <c r="I22" s="145">
        <v>3425.89</v>
      </c>
      <c r="J22" s="202">
        <v>500</v>
      </c>
    </row>
    <row r="23" spans="1:13" x14ac:dyDescent="0.3">
      <c r="A23" s="1"/>
      <c r="B23" s="4" t="s">
        <v>68</v>
      </c>
      <c r="C23" s="9">
        <f t="shared" ref="C23:F23" si="6">C24+C25</f>
        <v>700665</v>
      </c>
      <c r="D23" s="9">
        <f t="shared" si="6"/>
        <v>301911</v>
      </c>
      <c r="E23" s="127">
        <f t="shared" si="6"/>
        <v>824690</v>
      </c>
      <c r="F23" s="9">
        <f t="shared" si="6"/>
        <v>497606</v>
      </c>
      <c r="G23" s="9">
        <f>G24+G25</f>
        <v>1420459</v>
      </c>
      <c r="H23" s="9">
        <f>H24+H25</f>
        <v>1477549</v>
      </c>
      <c r="I23" s="9">
        <f>I24+I25</f>
        <v>1476234.99</v>
      </c>
      <c r="J23" s="194">
        <f>J24+J25</f>
        <v>1475873</v>
      </c>
      <c r="K23" s="118"/>
      <c r="L23" s="297"/>
    </row>
    <row r="24" spans="1:13" x14ac:dyDescent="0.3">
      <c r="A24" s="10">
        <v>3500</v>
      </c>
      <c r="B24" s="17" t="s">
        <v>69</v>
      </c>
      <c r="C24" s="95">
        <v>25466</v>
      </c>
      <c r="D24" s="18">
        <v>10284</v>
      </c>
      <c r="E24" s="128">
        <v>85411</v>
      </c>
      <c r="F24" s="18">
        <v>168000</v>
      </c>
      <c r="G24" s="170">
        <v>50044</v>
      </c>
      <c r="H24" s="170">
        <v>67142</v>
      </c>
      <c r="I24" s="170">
        <v>54942.99</v>
      </c>
      <c r="J24" s="202">
        <v>50000</v>
      </c>
    </row>
    <row r="25" spans="1:13" ht="14.5" x14ac:dyDescent="0.35">
      <c r="A25" s="14">
        <v>352</v>
      </c>
      <c r="B25" s="19" t="s">
        <v>70</v>
      </c>
      <c r="C25" s="16">
        <f t="shared" ref="C25:F25" si="7">C26+C45</f>
        <v>675199</v>
      </c>
      <c r="D25" s="16">
        <f t="shared" si="7"/>
        <v>291627</v>
      </c>
      <c r="E25" s="129">
        <f t="shared" si="7"/>
        <v>739279</v>
      </c>
      <c r="F25" s="16">
        <f t="shared" si="7"/>
        <v>329606</v>
      </c>
      <c r="G25" s="16">
        <f>G26+G45</f>
        <v>1370415</v>
      </c>
      <c r="H25" s="16">
        <f>H26+H45</f>
        <v>1410407</v>
      </c>
      <c r="I25" s="255">
        <f>I26+I45</f>
        <v>1421292</v>
      </c>
      <c r="J25" s="199">
        <f>J26+J45</f>
        <v>1425873</v>
      </c>
    </row>
    <row r="26" spans="1:13" x14ac:dyDescent="0.3">
      <c r="A26" s="10">
        <v>352000</v>
      </c>
      <c r="B26" s="20" t="s">
        <v>71</v>
      </c>
      <c r="C26" s="12">
        <f t="shared" ref="C26:F26" si="8">SUM(C27:C44)</f>
        <v>597394</v>
      </c>
      <c r="D26" s="12">
        <f t="shared" si="8"/>
        <v>291627</v>
      </c>
      <c r="E26" s="128">
        <f t="shared" si="8"/>
        <v>669034</v>
      </c>
      <c r="F26" s="12">
        <f t="shared" si="8"/>
        <v>329606</v>
      </c>
      <c r="G26" s="12">
        <v>1250549</v>
      </c>
      <c r="H26" s="12">
        <f>SUM(H27:H44)</f>
        <v>1296755</v>
      </c>
      <c r="I26" s="256">
        <f>SUM(I27:I44)</f>
        <v>1307640</v>
      </c>
      <c r="J26" s="200">
        <f>SUM(J27:J44)</f>
        <v>1312221</v>
      </c>
      <c r="K26" s="118"/>
      <c r="M26" s="261"/>
    </row>
    <row r="27" spans="1:13" x14ac:dyDescent="0.3">
      <c r="A27" s="10"/>
      <c r="B27" s="21" t="s">
        <v>72</v>
      </c>
      <c r="C27" s="22">
        <v>355125</v>
      </c>
      <c r="D27" s="22">
        <v>143336</v>
      </c>
      <c r="E27" s="128">
        <v>396750</v>
      </c>
      <c r="F27" s="12">
        <v>158183</v>
      </c>
      <c r="G27" s="12">
        <v>636181</v>
      </c>
      <c r="H27" s="12">
        <v>716204</v>
      </c>
      <c r="I27" s="12">
        <v>716204</v>
      </c>
      <c r="J27" s="204">
        <v>753705</v>
      </c>
      <c r="L27" s="298"/>
      <c r="M27" s="290"/>
    </row>
    <row r="28" spans="1:13" x14ac:dyDescent="0.3">
      <c r="A28" s="10"/>
      <c r="B28" s="21" t="s">
        <v>73</v>
      </c>
      <c r="C28" s="22">
        <v>35794</v>
      </c>
      <c r="D28" s="22">
        <v>0</v>
      </c>
      <c r="E28" s="128">
        <v>20478</v>
      </c>
      <c r="F28" s="12">
        <v>0</v>
      </c>
      <c r="G28" s="12">
        <v>0</v>
      </c>
      <c r="H28" s="12">
        <v>0</v>
      </c>
      <c r="I28" s="12">
        <v>0</v>
      </c>
      <c r="J28" s="202"/>
    </row>
    <row r="29" spans="1:13" x14ac:dyDescent="0.3">
      <c r="A29" s="10"/>
      <c r="B29" s="21" t="s">
        <v>74</v>
      </c>
      <c r="C29" s="22">
        <v>32315</v>
      </c>
      <c r="D29" s="22">
        <v>13714</v>
      </c>
      <c r="E29" s="128">
        <v>32315</v>
      </c>
      <c r="F29" s="12">
        <v>13714</v>
      </c>
      <c r="G29" s="12">
        <v>46029</v>
      </c>
      <c r="H29" s="12">
        <v>46029</v>
      </c>
      <c r="I29" s="12">
        <v>46029</v>
      </c>
      <c r="J29" s="204">
        <v>46029</v>
      </c>
    </row>
    <row r="30" spans="1:13" x14ac:dyDescent="0.3">
      <c r="A30" s="10"/>
      <c r="B30" s="21" t="s">
        <v>75</v>
      </c>
      <c r="C30" s="22">
        <v>4011</v>
      </c>
      <c r="D30" s="22">
        <v>1148</v>
      </c>
      <c r="E30" s="128">
        <v>4011</v>
      </c>
      <c r="F30" s="12">
        <v>1148</v>
      </c>
      <c r="G30" s="12">
        <v>5159</v>
      </c>
      <c r="H30" s="12">
        <v>5159</v>
      </c>
      <c r="I30" s="12">
        <v>5159</v>
      </c>
      <c r="J30" s="204">
        <v>5159</v>
      </c>
    </row>
    <row r="31" spans="1:13" x14ac:dyDescent="0.3">
      <c r="A31" s="10"/>
      <c r="B31" s="21" t="s">
        <v>76</v>
      </c>
      <c r="C31" s="22">
        <v>14478</v>
      </c>
      <c r="D31" s="22">
        <v>3249</v>
      </c>
      <c r="E31" s="128">
        <v>14478</v>
      </c>
      <c r="F31" s="12">
        <v>3420</v>
      </c>
      <c r="G31" s="12">
        <v>17043</v>
      </c>
      <c r="H31" s="12">
        <v>17328</v>
      </c>
      <c r="I31" s="12">
        <v>17328</v>
      </c>
      <c r="J31" s="204">
        <v>17898</v>
      </c>
    </row>
    <row r="32" spans="1:13" x14ac:dyDescent="0.3">
      <c r="A32" s="10"/>
      <c r="B32" s="21" t="s">
        <v>77</v>
      </c>
      <c r="C32" s="22">
        <v>34535</v>
      </c>
      <c r="D32" s="22">
        <v>7781</v>
      </c>
      <c r="E32" s="128">
        <v>34535</v>
      </c>
      <c r="F32" s="12">
        <v>8054</v>
      </c>
      <c r="G32" s="12">
        <v>52150</v>
      </c>
      <c r="H32" s="12">
        <v>53200</v>
      </c>
      <c r="I32" s="12">
        <v>53200</v>
      </c>
      <c r="J32" s="204">
        <v>54950</v>
      </c>
    </row>
    <row r="33" spans="1:19" x14ac:dyDescent="0.3">
      <c r="A33" s="10"/>
      <c r="B33" s="21" t="s">
        <v>78</v>
      </c>
      <c r="C33" s="22">
        <v>0</v>
      </c>
      <c r="D33" s="22">
        <v>0</v>
      </c>
      <c r="E33" s="128">
        <v>0</v>
      </c>
      <c r="F33" s="12">
        <v>0</v>
      </c>
      <c r="G33" s="12">
        <v>27768</v>
      </c>
      <c r="H33" s="12">
        <v>42588</v>
      </c>
      <c r="I33" s="12">
        <v>42588</v>
      </c>
      <c r="J33" s="204">
        <v>38640</v>
      </c>
      <c r="L33" s="299"/>
      <c r="M33" s="288"/>
      <c r="N33" s="291"/>
      <c r="O33" s="288"/>
      <c r="P33" s="288"/>
      <c r="Q33" s="288"/>
      <c r="R33" s="288"/>
      <c r="S33" s="288"/>
    </row>
    <row r="34" spans="1:19" x14ac:dyDescent="0.3">
      <c r="A34" s="10"/>
      <c r="B34" s="21" t="s">
        <v>79</v>
      </c>
      <c r="C34" s="22">
        <v>0</v>
      </c>
      <c r="D34" s="22">
        <v>0</v>
      </c>
      <c r="E34" s="128">
        <v>9605</v>
      </c>
      <c r="F34" s="12">
        <v>2031</v>
      </c>
      <c r="G34" s="12">
        <v>76851</v>
      </c>
      <c r="H34" s="12">
        <v>80792</v>
      </c>
      <c r="I34" s="12">
        <v>80792</v>
      </c>
      <c r="J34" s="358">
        <v>84000</v>
      </c>
    </row>
    <row r="35" spans="1:19" x14ac:dyDescent="0.3">
      <c r="A35" s="10"/>
      <c r="B35" s="21" t="s">
        <v>80</v>
      </c>
      <c r="C35" s="22">
        <v>0</v>
      </c>
      <c r="D35" s="22">
        <v>0</v>
      </c>
      <c r="E35" s="128">
        <v>1746</v>
      </c>
      <c r="F35" s="12">
        <v>2603</v>
      </c>
      <c r="G35" s="12">
        <v>7852</v>
      </c>
      <c r="H35" s="12">
        <v>3450</v>
      </c>
      <c r="I35" s="12">
        <v>463</v>
      </c>
      <c r="J35" s="358">
        <v>3952</v>
      </c>
    </row>
    <row r="36" spans="1:19" x14ac:dyDescent="0.3">
      <c r="A36" s="10"/>
      <c r="B36" s="21" t="s">
        <v>81</v>
      </c>
      <c r="C36" s="22">
        <v>0</v>
      </c>
      <c r="D36" s="22">
        <v>0</v>
      </c>
      <c r="E36" s="128">
        <v>26803</v>
      </c>
      <c r="F36" s="12">
        <v>7555</v>
      </c>
      <c r="G36" s="128">
        <v>81053</v>
      </c>
      <c r="H36" s="128">
        <v>71413</v>
      </c>
      <c r="I36" s="128">
        <v>71413</v>
      </c>
      <c r="J36" s="358">
        <v>73835</v>
      </c>
    </row>
    <row r="37" spans="1:19" x14ac:dyDescent="0.3">
      <c r="A37" s="10"/>
      <c r="B37" s="21" t="s">
        <v>82</v>
      </c>
      <c r="C37" s="22">
        <v>19651</v>
      </c>
      <c r="D37" s="22">
        <v>4083</v>
      </c>
      <c r="E37" s="128">
        <v>20614</v>
      </c>
      <c r="F37" s="12">
        <v>4647</v>
      </c>
      <c r="G37" s="128">
        <v>7326</v>
      </c>
      <c r="H37" s="128">
        <v>13440</v>
      </c>
      <c r="I37" s="128">
        <v>33593</v>
      </c>
      <c r="J37" s="358">
        <v>18805</v>
      </c>
    </row>
    <row r="38" spans="1:19" x14ac:dyDescent="0.3">
      <c r="A38" s="10"/>
      <c r="B38" s="21" t="s">
        <v>83</v>
      </c>
      <c r="C38" s="22">
        <v>9366</v>
      </c>
      <c r="D38" s="22">
        <v>0</v>
      </c>
      <c r="E38" s="128">
        <v>14643</v>
      </c>
      <c r="F38" s="12">
        <v>1168</v>
      </c>
      <c r="G38" s="128">
        <v>0</v>
      </c>
      <c r="H38" s="128">
        <v>0</v>
      </c>
      <c r="I38" s="128"/>
      <c r="J38" s="358"/>
    </row>
    <row r="39" spans="1:19" x14ac:dyDescent="0.3">
      <c r="A39" s="10"/>
      <c r="B39" s="21" t="s">
        <v>84</v>
      </c>
      <c r="C39" s="22">
        <v>2786</v>
      </c>
      <c r="D39" s="22">
        <v>401</v>
      </c>
      <c r="E39" s="128">
        <v>4630</v>
      </c>
      <c r="F39" s="12">
        <v>552</v>
      </c>
      <c r="G39" s="128">
        <v>6236</v>
      </c>
      <c r="H39" s="128">
        <v>0</v>
      </c>
      <c r="I39" s="128"/>
      <c r="J39" s="358"/>
    </row>
    <row r="40" spans="1:19" x14ac:dyDescent="0.3">
      <c r="A40" s="10"/>
      <c r="B40" s="21" t="s">
        <v>85</v>
      </c>
      <c r="C40" s="22">
        <v>0</v>
      </c>
      <c r="D40" s="22">
        <v>0</v>
      </c>
      <c r="E40" s="128">
        <v>0</v>
      </c>
      <c r="F40" s="12">
        <v>0</v>
      </c>
      <c r="G40" s="128">
        <v>14550</v>
      </c>
      <c r="H40" s="128">
        <v>16096</v>
      </c>
      <c r="I40" s="128">
        <v>16096</v>
      </c>
      <c r="J40" s="358">
        <v>15725</v>
      </c>
    </row>
    <row r="41" spans="1:19" x14ac:dyDescent="0.3">
      <c r="A41" s="10"/>
      <c r="B41" s="21" t="s">
        <v>86</v>
      </c>
      <c r="C41" s="22">
        <v>0</v>
      </c>
      <c r="D41" s="22">
        <v>0</v>
      </c>
      <c r="E41" s="128">
        <v>0</v>
      </c>
      <c r="F41" s="12">
        <v>0</v>
      </c>
      <c r="G41" s="128">
        <v>54213</v>
      </c>
      <c r="H41" s="128">
        <v>30820</v>
      </c>
      <c r="I41" s="128">
        <v>24539</v>
      </c>
      <c r="J41" s="358">
        <v>0</v>
      </c>
    </row>
    <row r="42" spans="1:19" x14ac:dyDescent="0.3">
      <c r="A42" s="10"/>
      <c r="B42" s="21" t="s">
        <v>87</v>
      </c>
      <c r="C42" s="22">
        <v>96</v>
      </c>
      <c r="D42" s="22">
        <v>49</v>
      </c>
      <c r="E42" s="128">
        <v>109</v>
      </c>
      <c r="F42" s="12">
        <v>62</v>
      </c>
      <c r="G42" s="128">
        <v>611</v>
      </c>
      <c r="H42" s="128">
        <v>735</v>
      </c>
      <c r="I42" s="128">
        <v>735</v>
      </c>
      <c r="J42" s="358">
        <v>453</v>
      </c>
    </row>
    <row r="43" spans="1:19" x14ac:dyDescent="0.3">
      <c r="A43" s="10"/>
      <c r="B43" s="21" t="s">
        <v>88</v>
      </c>
      <c r="C43" s="22">
        <v>0</v>
      </c>
      <c r="D43" s="22">
        <v>0</v>
      </c>
      <c r="E43" s="128">
        <v>4118</v>
      </c>
      <c r="F43" s="12">
        <v>7306</v>
      </c>
      <c r="G43" s="128">
        <v>17885</v>
      </c>
      <c r="H43" s="128">
        <v>0</v>
      </c>
      <c r="I43" s="128"/>
      <c r="J43" s="358"/>
    </row>
    <row r="44" spans="1:19" x14ac:dyDescent="0.3">
      <c r="A44" s="10"/>
      <c r="B44" s="21" t="s">
        <v>89</v>
      </c>
      <c r="C44" s="22">
        <v>89237</v>
      </c>
      <c r="D44" s="22">
        <v>117866</v>
      </c>
      <c r="E44" s="128">
        <v>84199</v>
      </c>
      <c r="F44" s="12">
        <v>119163</v>
      </c>
      <c r="G44" s="128">
        <v>199642</v>
      </c>
      <c r="H44" s="128">
        <v>199501</v>
      </c>
      <c r="I44" s="128">
        <v>199501</v>
      </c>
      <c r="J44" s="358">
        <v>199070</v>
      </c>
    </row>
    <row r="45" spans="1:19" x14ac:dyDescent="0.3">
      <c r="A45" s="10">
        <v>352001</v>
      </c>
      <c r="B45" s="20" t="s">
        <v>90</v>
      </c>
      <c r="C45" s="12">
        <v>77805</v>
      </c>
      <c r="D45" s="12">
        <v>0</v>
      </c>
      <c r="E45" s="128">
        <v>70245</v>
      </c>
      <c r="F45" s="12">
        <v>0</v>
      </c>
      <c r="G45" s="152">
        <v>119866</v>
      </c>
      <c r="H45" s="152">
        <v>113652</v>
      </c>
      <c r="I45" s="152">
        <v>113652</v>
      </c>
      <c r="J45" s="202">
        <v>113652</v>
      </c>
    </row>
    <row r="46" spans="1:19" x14ac:dyDescent="0.3">
      <c r="A46" s="1"/>
      <c r="B46" s="4" t="s">
        <v>91</v>
      </c>
      <c r="C46" s="9">
        <f t="shared" ref="C46:F46" si="9">SUM(C47:C48)</f>
        <v>47950</v>
      </c>
      <c r="D46" s="9">
        <f t="shared" si="9"/>
        <v>3900</v>
      </c>
      <c r="E46" s="127">
        <f t="shared" si="9"/>
        <v>9109</v>
      </c>
      <c r="F46" s="9">
        <f t="shared" si="9"/>
        <v>5897</v>
      </c>
      <c r="G46" s="9">
        <f t="shared" ref="G46" si="10">SUM(G47:G48)</f>
        <v>24778</v>
      </c>
      <c r="H46" s="9">
        <f t="shared" ref="H46:J46" si="11">SUM(H47:H48)</f>
        <v>25000</v>
      </c>
      <c r="I46" s="9">
        <f>SUM(I47:I48)</f>
        <v>11079.77</v>
      </c>
      <c r="J46" s="194">
        <f t="shared" si="11"/>
        <v>28714</v>
      </c>
    </row>
    <row r="47" spans="1:19" x14ac:dyDescent="0.3">
      <c r="A47" s="10">
        <v>382</v>
      </c>
      <c r="B47" s="20" t="s">
        <v>92</v>
      </c>
      <c r="C47" s="12">
        <v>10823</v>
      </c>
      <c r="D47" s="12">
        <v>3767</v>
      </c>
      <c r="E47" s="128">
        <v>7576</v>
      </c>
      <c r="F47" s="12">
        <v>4202</v>
      </c>
      <c r="G47" s="13">
        <v>15898</v>
      </c>
      <c r="H47" s="13">
        <v>20000</v>
      </c>
      <c r="I47" s="13">
        <v>9726.82</v>
      </c>
      <c r="J47" s="202">
        <v>21000</v>
      </c>
    </row>
    <row r="48" spans="1:19" x14ac:dyDescent="0.3">
      <c r="A48" s="10">
        <v>388</v>
      </c>
      <c r="B48" s="20" t="s">
        <v>93</v>
      </c>
      <c r="C48" s="12">
        <v>37127</v>
      </c>
      <c r="D48" s="12">
        <v>133</v>
      </c>
      <c r="E48" s="128">
        <v>1533</v>
      </c>
      <c r="F48" s="12">
        <v>1695</v>
      </c>
      <c r="G48" s="145">
        <v>8880</v>
      </c>
      <c r="H48" s="145">
        <v>5000</v>
      </c>
      <c r="I48" s="145">
        <v>1352.95</v>
      </c>
      <c r="J48" s="202">
        <v>7714</v>
      </c>
    </row>
    <row r="49" spans="1:92" x14ac:dyDescent="0.3">
      <c r="E49" s="117"/>
      <c r="F49" s="118"/>
    </row>
    <row r="50" spans="1:92" x14ac:dyDescent="0.3">
      <c r="E50" s="117"/>
      <c r="F50" s="118"/>
    </row>
    <row r="51" spans="1:92" ht="60" x14ac:dyDescent="0.3">
      <c r="A51" s="1"/>
      <c r="B51" s="1"/>
      <c r="C51" s="23" t="s">
        <v>94</v>
      </c>
      <c r="D51" s="23" t="s">
        <v>95</v>
      </c>
      <c r="E51" s="130" t="s">
        <v>96</v>
      </c>
      <c r="F51" s="23" t="s">
        <v>97</v>
      </c>
      <c r="G51" s="154" t="s">
        <v>98</v>
      </c>
      <c r="H51" s="154" t="s">
        <v>99</v>
      </c>
      <c r="I51" s="154"/>
      <c r="J51" s="204" t="s">
        <v>45</v>
      </c>
    </row>
    <row r="52" spans="1:92" ht="27" customHeight="1" x14ac:dyDescent="0.3">
      <c r="A52" s="1" t="s">
        <v>100</v>
      </c>
      <c r="B52" s="4" t="s">
        <v>101</v>
      </c>
      <c r="C52" s="94"/>
      <c r="D52" s="94"/>
      <c r="E52" s="131"/>
      <c r="F52" s="25"/>
      <c r="K52" s="288"/>
      <c r="L52" s="292"/>
      <c r="M52" s="288"/>
      <c r="N52" s="291"/>
      <c r="O52" s="288"/>
    </row>
    <row r="53" spans="1:92" x14ac:dyDescent="0.3">
      <c r="A53" s="1" t="s">
        <v>100</v>
      </c>
      <c r="B53" s="26" t="s">
        <v>102</v>
      </c>
      <c r="C53" s="27">
        <f>SUM(C54+C103+C121+C140+C160+C194+C197+C363+C481)</f>
        <v>-2414005</v>
      </c>
      <c r="D53" s="27">
        <f>SUM(D54+D103+D121+D140+D160+D197+D363+D481)</f>
        <v>-1964568</v>
      </c>
      <c r="E53" s="132">
        <f>SUM(E54+E103+E121+E140+E160+E194+E197+E363+E481)</f>
        <v>-2727457</v>
      </c>
      <c r="F53" s="27">
        <f>SUM(F54+F103+F121+F140+F160+F194+F197+F363+F481)</f>
        <v>-2205277</v>
      </c>
      <c r="G53" s="27">
        <f>SUM(G54+G103+G121+G140+G160+G197+G363+G481)</f>
        <v>-5233044</v>
      </c>
      <c r="H53" s="27">
        <f>SUM(H54+H103+H121+H140+H160+H197+H363+H481+H547)</f>
        <v>-6055420</v>
      </c>
      <c r="I53" s="27">
        <f>SUM(I54+I103+I121+I140+I160+I197+I363+I481+I547)</f>
        <v>-5716233.2100000009</v>
      </c>
      <c r="J53" s="201">
        <f>SUM(J54+J103+J121+J140+J160+J197+J363+J481+J547)</f>
        <v>-6216649.04</v>
      </c>
      <c r="K53" s="288"/>
      <c r="L53" s="300"/>
      <c r="M53" s="288"/>
      <c r="N53" s="291"/>
      <c r="O53" s="288"/>
    </row>
    <row r="54" spans="1:92" x14ac:dyDescent="0.3">
      <c r="A54" s="28" t="s">
        <v>103</v>
      </c>
      <c r="B54" s="29" t="s">
        <v>104</v>
      </c>
      <c r="C54" s="30">
        <f t="shared" ref="C54:F54" si="12">SUM(C55+C63+C85+C87+C90+C94)</f>
        <v>-302047</v>
      </c>
      <c r="D54" s="30">
        <f t="shared" si="12"/>
        <v>-378552</v>
      </c>
      <c r="E54" s="30">
        <f t="shared" si="12"/>
        <v>-430768</v>
      </c>
      <c r="F54" s="30">
        <f t="shared" si="12"/>
        <v>-446506</v>
      </c>
      <c r="G54" s="30">
        <f>SUM(G55+G63+G85+G87+G90+G94)</f>
        <v>-775840</v>
      </c>
      <c r="H54" s="30">
        <f>SUM(H55+H63+H85+H87+H90+H94)</f>
        <v>-822668</v>
      </c>
      <c r="I54" s="30">
        <f>SUM(I55+I63+I85+I87+I90+I94)</f>
        <v>-760711.5199999999</v>
      </c>
      <c r="J54" s="30">
        <f>SUM(J55+J63+J85+J87+J90+J94)</f>
        <v>-872471.96</v>
      </c>
      <c r="L54" s="301"/>
    </row>
    <row r="55" spans="1:92" x14ac:dyDescent="0.3">
      <c r="A55" s="29" t="s">
        <v>105</v>
      </c>
      <c r="B55" s="29" t="s">
        <v>106</v>
      </c>
      <c r="C55" s="30">
        <f t="shared" ref="C55:F55" si="13">SUM(C56:C62)</f>
        <v>-8263</v>
      </c>
      <c r="D55" s="30">
        <f t="shared" si="13"/>
        <v>-25122</v>
      </c>
      <c r="E55" s="30">
        <f t="shared" si="13"/>
        <v>-13428</v>
      </c>
      <c r="F55" s="30">
        <f t="shared" si="13"/>
        <v>-32716</v>
      </c>
      <c r="G55" s="30">
        <f>SUM(G56:G62)</f>
        <v>-37845</v>
      </c>
      <c r="H55" s="30">
        <f>SUM(H56:H62)</f>
        <v>-38753</v>
      </c>
      <c r="I55" s="30">
        <f>SUM(I56:I62)</f>
        <v>-31645.7</v>
      </c>
      <c r="J55" s="30">
        <f>SUM(J56:J62)</f>
        <v>-35147.199999999997</v>
      </c>
      <c r="K55" s="218"/>
      <c r="M55" s="231"/>
    </row>
    <row r="56" spans="1:92" s="147" customFormat="1" ht="15" customHeight="1" x14ac:dyDescent="0.3">
      <c r="A56" s="10">
        <v>5000</v>
      </c>
      <c r="B56" s="10" t="s">
        <v>107</v>
      </c>
      <c r="C56" s="99">
        <v>-4739</v>
      </c>
      <c r="D56" s="99">
        <v>-16948</v>
      </c>
      <c r="E56" s="48">
        <v>-9065</v>
      </c>
      <c r="F56" s="31">
        <v>-20233</v>
      </c>
      <c r="G56" s="31">
        <v>-26376</v>
      </c>
      <c r="H56" s="31">
        <v>-26130</v>
      </c>
      <c r="I56" s="31">
        <v>-22144.84</v>
      </c>
      <c r="J56" s="202">
        <v>-24400</v>
      </c>
      <c r="K56" s="217"/>
      <c r="L56" s="302"/>
      <c r="N56" s="245"/>
    </row>
    <row r="57" spans="1:92" s="147" customFormat="1" ht="15" customHeight="1" x14ac:dyDescent="0.3">
      <c r="A57" s="10">
        <v>506</v>
      </c>
      <c r="B57" s="10" t="s">
        <v>108</v>
      </c>
      <c r="C57" s="99">
        <v>-1597</v>
      </c>
      <c r="D57" s="99">
        <v>-5539</v>
      </c>
      <c r="E57" s="48">
        <v>-3179</v>
      </c>
      <c r="F57" s="31">
        <v>-5395</v>
      </c>
      <c r="G57" s="31">
        <v>-9953</v>
      </c>
      <c r="H57" s="31">
        <v>-8623</v>
      </c>
      <c r="I57" s="31">
        <v>-7307.79</v>
      </c>
      <c r="J57" s="202">
        <f>J56*0.338</f>
        <v>-8247.2000000000007</v>
      </c>
      <c r="K57" s="313"/>
      <c r="L57" s="314"/>
      <c r="N57" s="245"/>
    </row>
    <row r="58" spans="1:92" s="147" customFormat="1" ht="15" customHeight="1" x14ac:dyDescent="0.3">
      <c r="A58" s="10">
        <v>5500</v>
      </c>
      <c r="B58" s="10" t="s">
        <v>109</v>
      </c>
      <c r="C58" s="99">
        <v>0</v>
      </c>
      <c r="D58" s="99">
        <v>-1929</v>
      </c>
      <c r="E58" s="48">
        <v>0</v>
      </c>
      <c r="F58" s="31">
        <v>-6440</v>
      </c>
      <c r="G58" s="31">
        <v>-1194</v>
      </c>
      <c r="H58" s="31">
        <v>-3000</v>
      </c>
      <c r="I58" s="31">
        <v>-1960.86</v>
      </c>
      <c r="J58" s="202">
        <v>-1500</v>
      </c>
      <c r="K58" s="315"/>
      <c r="L58" s="316"/>
      <c r="N58" s="245"/>
    </row>
    <row r="59" spans="1:92" s="147" customFormat="1" ht="15" customHeight="1" x14ac:dyDescent="0.3">
      <c r="A59" s="10">
        <v>5502</v>
      </c>
      <c r="B59" s="10" t="s">
        <v>110</v>
      </c>
      <c r="C59" s="99">
        <v>-84</v>
      </c>
      <c r="D59" s="99">
        <v>0</v>
      </c>
      <c r="E59" s="48">
        <v>0</v>
      </c>
      <c r="F59" s="31">
        <v>0</v>
      </c>
      <c r="G59" s="31">
        <v>0</v>
      </c>
      <c r="H59" s="31">
        <v>0</v>
      </c>
      <c r="I59" s="31"/>
      <c r="J59" s="202"/>
      <c r="K59" s="317"/>
      <c r="L59" s="316"/>
      <c r="N59" s="245"/>
    </row>
    <row r="60" spans="1:92" s="147" customFormat="1" ht="15" customHeight="1" x14ac:dyDescent="0.3">
      <c r="A60" s="10">
        <v>5504</v>
      </c>
      <c r="B60" s="10" t="s">
        <v>111</v>
      </c>
      <c r="C60" s="99">
        <v>-1242</v>
      </c>
      <c r="D60" s="99">
        <v>0</v>
      </c>
      <c r="E60" s="48">
        <v>-884</v>
      </c>
      <c r="F60" s="31">
        <v>0</v>
      </c>
      <c r="G60" s="31">
        <v>0</v>
      </c>
      <c r="H60" s="31">
        <v>-1000</v>
      </c>
      <c r="I60" s="31">
        <v>-150</v>
      </c>
      <c r="J60" s="202">
        <v>-1000</v>
      </c>
      <c r="K60" s="317"/>
      <c r="L60" s="316"/>
      <c r="N60" s="245"/>
    </row>
    <row r="61" spans="1:92" s="147" customFormat="1" ht="15" customHeight="1" x14ac:dyDescent="0.3">
      <c r="A61" s="10">
        <v>5513</v>
      </c>
      <c r="B61" s="10" t="s">
        <v>112</v>
      </c>
      <c r="C61" s="99">
        <v>-601</v>
      </c>
      <c r="D61" s="99">
        <v>-706</v>
      </c>
      <c r="E61" s="48">
        <v>-300</v>
      </c>
      <c r="F61" s="31">
        <v>-401</v>
      </c>
      <c r="G61" s="48">
        <v>0</v>
      </c>
      <c r="H61" s="48">
        <v>0</v>
      </c>
      <c r="I61" s="48">
        <v>-82.21</v>
      </c>
      <c r="J61" s="202"/>
      <c r="K61" s="317"/>
      <c r="L61" s="316"/>
      <c r="N61" s="245"/>
    </row>
    <row r="62" spans="1:92" s="147" customFormat="1" ht="15" customHeight="1" x14ac:dyDescent="0.3">
      <c r="A62" s="10">
        <v>5514</v>
      </c>
      <c r="B62" s="10" t="s">
        <v>113</v>
      </c>
      <c r="C62" s="99">
        <v>0</v>
      </c>
      <c r="D62" s="99">
        <v>0</v>
      </c>
      <c r="E62" s="48">
        <v>0</v>
      </c>
      <c r="F62" s="31">
        <v>-247</v>
      </c>
      <c r="G62" s="31">
        <v>-322</v>
      </c>
      <c r="H62" s="31">
        <v>0</v>
      </c>
      <c r="I62" s="31"/>
      <c r="J62" s="202"/>
      <c r="K62" s="289"/>
      <c r="L62" s="318"/>
      <c r="N62" s="245"/>
    </row>
    <row r="63" spans="1:92" x14ac:dyDescent="0.3">
      <c r="A63" s="29" t="s">
        <v>114</v>
      </c>
      <c r="B63" s="29" t="s">
        <v>115</v>
      </c>
      <c r="C63" s="30">
        <f>SUM(C65:C84)</f>
        <v>-284802</v>
      </c>
      <c r="D63" s="30">
        <f>SUM(D65:D84)</f>
        <v>-314200</v>
      </c>
      <c r="E63" s="30">
        <f>SUM(E64:E84)</f>
        <v>-405197</v>
      </c>
      <c r="F63" s="30">
        <f>SUM(F64:F84)</f>
        <v>-368680</v>
      </c>
      <c r="G63" s="30">
        <f>SUM(G71:G84)+G65+G67+G69</f>
        <v>-674561</v>
      </c>
      <c r="H63" s="30">
        <f>SUM(H71:H84)+H65+H67+H69</f>
        <v>-682915</v>
      </c>
      <c r="I63" s="30">
        <f>SUM(I71:I84)+I65+I67+I69</f>
        <v>-668735.42999999993</v>
      </c>
      <c r="J63" s="30">
        <f>SUM(J71:J84)+J65+J67+J69</f>
        <v>-718754.76</v>
      </c>
      <c r="K63" s="220"/>
      <c r="L63" s="297"/>
      <c r="M63" s="231"/>
      <c r="N63" s="281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</row>
    <row r="64" spans="1:92" s="121" customFormat="1" ht="15" customHeight="1" x14ac:dyDescent="0.3">
      <c r="A64" s="47">
        <v>4500</v>
      </c>
      <c r="B64" s="47" t="s">
        <v>116</v>
      </c>
      <c r="C64" s="48">
        <v>0</v>
      </c>
      <c r="D64" s="48">
        <v>0</v>
      </c>
      <c r="E64" s="48">
        <v>-75000</v>
      </c>
      <c r="F64" s="48">
        <v>0</v>
      </c>
      <c r="G64" s="48">
        <v>0</v>
      </c>
      <c r="H64" s="48">
        <v>0</v>
      </c>
      <c r="I64" s="48"/>
      <c r="J64" s="203"/>
      <c r="K64" s="143"/>
      <c r="L64" s="166"/>
      <c r="M64" s="231"/>
      <c r="N64" s="247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</row>
    <row r="65" spans="1:92" s="123" customFormat="1" ht="15" customHeight="1" x14ac:dyDescent="0.3">
      <c r="A65" s="10">
        <v>5000</v>
      </c>
      <c r="B65" s="10" t="s">
        <v>107</v>
      </c>
      <c r="C65" s="99">
        <v>-24227</v>
      </c>
      <c r="D65" s="99">
        <v>-26202</v>
      </c>
      <c r="E65" s="48">
        <v>-26600</v>
      </c>
      <c r="F65" s="31">
        <v>-41595</v>
      </c>
      <c r="G65" s="31">
        <v>-39698</v>
      </c>
      <c r="H65" s="31">
        <v>-35866</v>
      </c>
      <c r="I65" s="31">
        <v>-41496.550000000003</v>
      </c>
      <c r="J65" s="203">
        <v>-34845</v>
      </c>
      <c r="K65" s="143"/>
      <c r="L65" s="166"/>
      <c r="M65" s="231"/>
      <c r="N65" s="247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</row>
    <row r="66" spans="1:92" s="161" customFormat="1" ht="15" customHeight="1" x14ac:dyDescent="0.3">
      <c r="A66" s="155" t="s">
        <v>117</v>
      </c>
      <c r="B66" s="156" t="s">
        <v>118</v>
      </c>
      <c r="C66" s="157"/>
      <c r="D66" s="157"/>
      <c r="E66" s="158"/>
      <c r="F66" s="159"/>
      <c r="G66" s="159">
        <v>-400</v>
      </c>
      <c r="H66" s="159">
        <v>-298</v>
      </c>
      <c r="I66" s="159"/>
      <c r="J66" s="283">
        <v>-345</v>
      </c>
      <c r="K66" s="303"/>
      <c r="L66" s="303"/>
      <c r="M66" s="231"/>
      <c r="N66" s="248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</row>
    <row r="67" spans="1:92" s="123" customFormat="1" ht="15" customHeight="1" x14ac:dyDescent="0.3">
      <c r="A67" s="10">
        <v>5001</v>
      </c>
      <c r="B67" s="10" t="s">
        <v>119</v>
      </c>
      <c r="C67" s="99">
        <v>-120909</v>
      </c>
      <c r="D67" s="99">
        <v>-138660</v>
      </c>
      <c r="E67" s="48">
        <v>-146046</v>
      </c>
      <c r="F67" s="31">
        <v>-171435</v>
      </c>
      <c r="G67" s="31">
        <v>-286650</v>
      </c>
      <c r="H67" s="31">
        <v>-324973</v>
      </c>
      <c r="I67" s="31">
        <v>-322071.34999999998</v>
      </c>
      <c r="J67" s="283">
        <v>-345420</v>
      </c>
      <c r="K67" s="309"/>
      <c r="L67" s="121"/>
      <c r="M67" s="231"/>
      <c r="N67" s="242"/>
    </row>
    <row r="68" spans="1:92" s="161" customFormat="1" ht="15" customHeight="1" x14ac:dyDescent="0.3">
      <c r="A68" s="155" t="s">
        <v>120</v>
      </c>
      <c r="B68" s="156" t="s">
        <v>118</v>
      </c>
      <c r="C68" s="157"/>
      <c r="D68" s="157"/>
      <c r="E68" s="158"/>
      <c r="F68" s="159"/>
      <c r="G68" s="159">
        <v>-2940</v>
      </c>
      <c r="H68" s="159">
        <v>-3217</v>
      </c>
      <c r="I68" s="159"/>
      <c r="J68" s="283">
        <v>-3420</v>
      </c>
      <c r="K68" s="362"/>
      <c r="L68" s="304"/>
      <c r="M68" s="231"/>
      <c r="N68" s="249"/>
    </row>
    <row r="69" spans="1:92" s="123" customFormat="1" ht="15" customHeight="1" x14ac:dyDescent="0.3">
      <c r="A69" s="10">
        <v>5002</v>
      </c>
      <c r="B69" s="10" t="s">
        <v>121</v>
      </c>
      <c r="C69" s="99">
        <v>-14307</v>
      </c>
      <c r="D69" s="99">
        <v>-11202</v>
      </c>
      <c r="E69" s="48">
        <v>-17061</v>
      </c>
      <c r="F69" s="31">
        <v>-15207</v>
      </c>
      <c r="G69" s="31">
        <v>-29501</v>
      </c>
      <c r="H69" s="31">
        <v>-35341</v>
      </c>
      <c r="I69" s="31">
        <v>-37124.199999999997</v>
      </c>
      <c r="J69" s="283">
        <v>-25755</v>
      </c>
      <c r="K69" s="309"/>
      <c r="L69" s="121"/>
      <c r="M69" s="231"/>
      <c r="N69" s="242"/>
    </row>
    <row r="70" spans="1:92" s="161" customFormat="1" ht="15" customHeight="1" x14ac:dyDescent="0.3">
      <c r="A70" s="155" t="s">
        <v>122</v>
      </c>
      <c r="B70" s="156" t="s">
        <v>118</v>
      </c>
      <c r="C70" s="157"/>
      <c r="D70" s="157"/>
      <c r="E70" s="158"/>
      <c r="F70" s="159"/>
      <c r="G70" s="159">
        <v>-480</v>
      </c>
      <c r="H70" s="159">
        <v>-350</v>
      </c>
      <c r="I70" s="159"/>
      <c r="J70" s="283">
        <v>-255</v>
      </c>
      <c r="K70" s="362"/>
      <c r="L70" s="304"/>
      <c r="M70" s="231"/>
      <c r="N70" s="249"/>
    </row>
    <row r="71" spans="1:92" s="123" customFormat="1" ht="15" customHeight="1" x14ac:dyDescent="0.3">
      <c r="A71" s="10">
        <v>5005</v>
      </c>
      <c r="B71" s="10" t="s">
        <v>123</v>
      </c>
      <c r="C71" s="99">
        <v>-1028</v>
      </c>
      <c r="D71" s="99">
        <v>-2336</v>
      </c>
      <c r="E71" s="48">
        <v>-82</v>
      </c>
      <c r="F71" s="31">
        <v>-763</v>
      </c>
      <c r="G71" s="31">
        <v>-3405</v>
      </c>
      <c r="H71" s="31">
        <v>-2000</v>
      </c>
      <c r="I71" s="31"/>
      <c r="J71" s="203"/>
      <c r="L71" s="121"/>
      <c r="N71" s="242"/>
    </row>
    <row r="72" spans="1:92" s="123" customFormat="1" ht="15" customHeight="1" x14ac:dyDescent="0.3">
      <c r="A72" s="10">
        <v>506</v>
      </c>
      <c r="B72" s="10" t="s">
        <v>108</v>
      </c>
      <c r="C72" s="99">
        <v>-57308</v>
      </c>
      <c r="D72" s="99">
        <v>-56941</v>
      </c>
      <c r="E72" s="48">
        <v>-56450</v>
      </c>
      <c r="F72" s="31">
        <v>-57798</v>
      </c>
      <c r="G72" s="31">
        <v>-145630</v>
      </c>
      <c r="H72" s="31">
        <v>-134585</v>
      </c>
      <c r="I72" s="244">
        <v>-134789.88</v>
      </c>
      <c r="J72" s="370">
        <f>(J65+J67+J69)*0.338</f>
        <v>-137234.76</v>
      </c>
      <c r="K72" s="319"/>
      <c r="L72" s="320"/>
      <c r="M72" s="321"/>
      <c r="N72" s="322"/>
      <c r="O72" s="321"/>
    </row>
    <row r="73" spans="1:92" s="123" customFormat="1" ht="15" customHeight="1" x14ac:dyDescent="0.3">
      <c r="A73" s="10">
        <v>5500</v>
      </c>
      <c r="B73" s="10" t="s">
        <v>109</v>
      </c>
      <c r="C73" s="99">
        <v>-14164</v>
      </c>
      <c r="D73" s="99">
        <v>-23913</v>
      </c>
      <c r="E73" s="48">
        <v>-30418</v>
      </c>
      <c r="F73" s="31">
        <v>-24569</v>
      </c>
      <c r="G73" s="31">
        <v>-57247</v>
      </c>
      <c r="H73" s="31">
        <v>-35000</v>
      </c>
      <c r="I73" s="31">
        <v>-38307.01</v>
      </c>
      <c r="J73" s="203">
        <v>-60000</v>
      </c>
      <c r="K73" s="321"/>
      <c r="L73" s="323"/>
      <c r="M73" s="321"/>
      <c r="N73" s="322"/>
      <c r="O73" s="321"/>
    </row>
    <row r="74" spans="1:92" s="123" customFormat="1" ht="15" customHeight="1" x14ac:dyDescent="0.3">
      <c r="A74" s="10">
        <v>5502</v>
      </c>
      <c r="B74" s="10" t="s">
        <v>110</v>
      </c>
      <c r="C74" s="99">
        <v>-2100</v>
      </c>
      <c r="D74" s="99">
        <v>0</v>
      </c>
      <c r="E74" s="48">
        <v>-5222</v>
      </c>
      <c r="F74" s="31">
        <v>-180</v>
      </c>
      <c r="G74" s="145">
        <v>0</v>
      </c>
      <c r="H74" s="145">
        <v>0</v>
      </c>
      <c r="I74" s="145"/>
      <c r="J74" s="203"/>
      <c r="L74" s="121"/>
      <c r="N74" s="242"/>
    </row>
    <row r="75" spans="1:92" s="123" customFormat="1" ht="15" customHeight="1" x14ac:dyDescent="0.3">
      <c r="A75" s="10">
        <v>5503</v>
      </c>
      <c r="B75" s="10" t="s">
        <v>124</v>
      </c>
      <c r="C75" s="99">
        <v>0</v>
      </c>
      <c r="D75" s="99">
        <v>-224</v>
      </c>
      <c r="E75" s="48">
        <v>-200</v>
      </c>
      <c r="F75" s="31">
        <v>-352</v>
      </c>
      <c r="G75" s="145">
        <v>-250</v>
      </c>
      <c r="H75" s="145">
        <v>-1000</v>
      </c>
      <c r="I75" s="145">
        <v>-1382.29</v>
      </c>
      <c r="J75" s="203">
        <v>-5000</v>
      </c>
      <c r="L75" s="121"/>
      <c r="N75" s="242"/>
    </row>
    <row r="76" spans="1:92" s="123" customFormat="1" ht="15" customHeight="1" x14ac:dyDescent="0.3">
      <c r="A76" s="10">
        <v>5504</v>
      </c>
      <c r="B76" s="10" t="s">
        <v>111</v>
      </c>
      <c r="C76" s="99">
        <v>-3565</v>
      </c>
      <c r="D76" s="99">
        <v>-838</v>
      </c>
      <c r="E76" s="48">
        <v>-4203</v>
      </c>
      <c r="F76" s="31">
        <v>-1246</v>
      </c>
      <c r="G76" s="145">
        <v>-5618</v>
      </c>
      <c r="H76" s="145">
        <v>-5000</v>
      </c>
      <c r="I76" s="145">
        <v>-4707.17</v>
      </c>
      <c r="J76" s="203">
        <v>-8000</v>
      </c>
      <c r="L76" s="121"/>
      <c r="N76" s="242"/>
    </row>
    <row r="77" spans="1:92" s="123" customFormat="1" ht="15" customHeight="1" x14ac:dyDescent="0.3">
      <c r="A77" s="10">
        <v>5511</v>
      </c>
      <c r="B77" s="10" t="s">
        <v>125</v>
      </c>
      <c r="C77" s="99">
        <v>-19698</v>
      </c>
      <c r="D77" s="99">
        <v>-3229</v>
      </c>
      <c r="E77" s="48">
        <v>-18782</v>
      </c>
      <c r="F77" s="31">
        <v>-4065</v>
      </c>
      <c r="G77" s="145">
        <v>-20772</v>
      </c>
      <c r="H77" s="145">
        <v>-23000</v>
      </c>
      <c r="I77" s="145">
        <v>-19721.990000000002</v>
      </c>
      <c r="J77" s="203">
        <v>-23000</v>
      </c>
      <c r="L77" s="121"/>
      <c r="N77" s="242"/>
    </row>
    <row r="78" spans="1:92" s="123" customFormat="1" ht="15" customHeight="1" x14ac:dyDescent="0.3">
      <c r="A78" s="10">
        <v>5513</v>
      </c>
      <c r="B78" s="10" t="s">
        <v>112</v>
      </c>
      <c r="C78" s="99">
        <v>-8856</v>
      </c>
      <c r="D78" s="99">
        <v>-18183</v>
      </c>
      <c r="E78" s="48">
        <v>-9102</v>
      </c>
      <c r="F78" s="31">
        <v>-17455</v>
      </c>
      <c r="G78" s="145">
        <v>-16999</v>
      </c>
      <c r="H78" s="145">
        <v>-18000</v>
      </c>
      <c r="I78" s="145">
        <v>-16960.599999999999</v>
      </c>
      <c r="J78" s="203">
        <v>-16000</v>
      </c>
      <c r="L78" s="121"/>
      <c r="N78" s="242"/>
    </row>
    <row r="79" spans="1:92" s="123" customFormat="1" ht="15" customHeight="1" x14ac:dyDescent="0.3">
      <c r="A79" s="10">
        <v>5514</v>
      </c>
      <c r="B79" s="10" t="s">
        <v>113</v>
      </c>
      <c r="C79" s="99">
        <v>-15244</v>
      </c>
      <c r="D79" s="99">
        <v>-27783</v>
      </c>
      <c r="E79" s="48">
        <v>-15090</v>
      </c>
      <c r="F79" s="31">
        <v>-31062</v>
      </c>
      <c r="G79" s="31">
        <v>-64013</v>
      </c>
      <c r="H79" s="31">
        <v>-60000</v>
      </c>
      <c r="I79" s="31">
        <v>-49357.39</v>
      </c>
      <c r="J79" s="203">
        <v>-50000</v>
      </c>
      <c r="L79" s="121"/>
      <c r="N79" s="242"/>
    </row>
    <row r="80" spans="1:92" s="123" customFormat="1" ht="15" customHeight="1" x14ac:dyDescent="0.3">
      <c r="A80" s="10">
        <v>5515</v>
      </c>
      <c r="B80" s="10" t="s">
        <v>126</v>
      </c>
      <c r="C80" s="99">
        <v>-498</v>
      </c>
      <c r="D80" s="99">
        <v>-2050</v>
      </c>
      <c r="E80" s="48">
        <v>-558</v>
      </c>
      <c r="F80" s="31">
        <v>-1311</v>
      </c>
      <c r="G80" s="145">
        <v>-3959</v>
      </c>
      <c r="H80" s="145">
        <v>-5000</v>
      </c>
      <c r="I80" s="145">
        <v>-554.97</v>
      </c>
      <c r="J80" s="203">
        <v>-5000</v>
      </c>
      <c r="L80" s="121"/>
      <c r="N80" s="242"/>
    </row>
    <row r="81" spans="1:14" s="123" customFormat="1" ht="15" customHeight="1" x14ac:dyDescent="0.3">
      <c r="A81" s="10">
        <v>5522</v>
      </c>
      <c r="B81" s="10" t="s">
        <v>127</v>
      </c>
      <c r="C81" s="99">
        <v>-249</v>
      </c>
      <c r="D81" s="99">
        <v>-230</v>
      </c>
      <c r="E81" s="48">
        <v>-383</v>
      </c>
      <c r="F81" s="31">
        <v>-38</v>
      </c>
      <c r="G81" s="145">
        <v>-672</v>
      </c>
      <c r="H81" s="145">
        <v>-650</v>
      </c>
      <c r="I81" s="145">
        <v>-417</v>
      </c>
      <c r="J81" s="203">
        <v>-5000</v>
      </c>
      <c r="L81" s="121"/>
      <c r="N81" s="242"/>
    </row>
    <row r="82" spans="1:14" s="123" customFormat="1" ht="15" customHeight="1" x14ac:dyDescent="0.3">
      <c r="A82" s="10">
        <v>5539</v>
      </c>
      <c r="B82" s="10" t="s">
        <v>128</v>
      </c>
      <c r="C82" s="99">
        <v>-2649</v>
      </c>
      <c r="D82" s="99">
        <v>0</v>
      </c>
      <c r="E82" s="48">
        <v>0</v>
      </c>
      <c r="F82" s="31">
        <v>0</v>
      </c>
      <c r="G82" s="145">
        <v>0</v>
      </c>
      <c r="H82" s="145">
        <v>-2000</v>
      </c>
      <c r="I82" s="145">
        <v>-1800.03</v>
      </c>
      <c r="J82" s="203">
        <v>-3000</v>
      </c>
      <c r="L82" s="121"/>
      <c r="N82" s="242"/>
    </row>
    <row r="83" spans="1:14" s="123" customFormat="1" ht="15" customHeight="1" x14ac:dyDescent="0.3">
      <c r="A83" s="10">
        <v>5540</v>
      </c>
      <c r="B83" s="10" t="s">
        <v>129</v>
      </c>
      <c r="C83" s="99"/>
      <c r="D83" s="99"/>
      <c r="E83" s="48">
        <v>0</v>
      </c>
      <c r="F83" s="31">
        <v>-33</v>
      </c>
      <c r="G83" s="145">
        <v>0</v>
      </c>
      <c r="H83" s="145">
        <v>0</v>
      </c>
      <c r="I83" s="145"/>
      <c r="J83" s="203"/>
      <c r="K83" s="321"/>
      <c r="L83" s="320"/>
      <c r="N83" s="242"/>
    </row>
    <row r="84" spans="1:14" s="123" customFormat="1" ht="15" customHeight="1" x14ac:dyDescent="0.3">
      <c r="A84" s="10">
        <v>6010</v>
      </c>
      <c r="B84" s="10" t="s">
        <v>130</v>
      </c>
      <c r="C84" s="99">
        <v>0</v>
      </c>
      <c r="D84" s="99">
        <v>-2409</v>
      </c>
      <c r="E84" s="48">
        <v>0</v>
      </c>
      <c r="F84" s="31">
        <v>-1571</v>
      </c>
      <c r="G84" s="145">
        <v>-147</v>
      </c>
      <c r="H84" s="145">
        <v>-500</v>
      </c>
      <c r="I84" s="145">
        <v>-45</v>
      </c>
      <c r="J84" s="283">
        <v>-500</v>
      </c>
      <c r="K84" s="324"/>
      <c r="L84" s="325"/>
      <c r="N84" s="242"/>
    </row>
    <row r="85" spans="1:14" x14ac:dyDescent="0.3">
      <c r="A85" s="29" t="s">
        <v>131</v>
      </c>
      <c r="B85" s="29" t="s">
        <v>132</v>
      </c>
      <c r="C85" s="30">
        <f t="shared" ref="C85:F85" si="14">C86</f>
        <v>0</v>
      </c>
      <c r="D85" s="30">
        <f t="shared" si="14"/>
        <v>0</v>
      </c>
      <c r="E85" s="30">
        <f t="shared" si="14"/>
        <v>0</v>
      </c>
      <c r="F85" s="30">
        <f t="shared" si="14"/>
        <v>0</v>
      </c>
      <c r="G85" s="30">
        <v>0</v>
      </c>
      <c r="H85" s="30">
        <f t="shared" ref="H85:J85" si="15">H86</f>
        <v>-60000</v>
      </c>
      <c r="I85" s="30"/>
      <c r="J85" s="30">
        <f t="shared" si="15"/>
        <v>-63070</v>
      </c>
      <c r="K85" s="288"/>
      <c r="L85" s="292"/>
      <c r="M85" s="282"/>
    </row>
    <row r="86" spans="1:14" s="123" customFormat="1" ht="15" customHeight="1" x14ac:dyDescent="0.3">
      <c r="A86" s="10">
        <v>6080</v>
      </c>
      <c r="B86" s="10" t="s">
        <v>18</v>
      </c>
      <c r="C86" s="99">
        <v>0</v>
      </c>
      <c r="D86" s="99">
        <v>0</v>
      </c>
      <c r="E86" s="48">
        <v>0</v>
      </c>
      <c r="F86" s="31">
        <v>0</v>
      </c>
      <c r="G86" s="145">
        <v>-4200</v>
      </c>
      <c r="H86" s="145">
        <v>-60000</v>
      </c>
      <c r="I86" s="145">
        <v>-21062</v>
      </c>
      <c r="J86" s="283">
        <v>-63070</v>
      </c>
      <c r="K86" s="324"/>
      <c r="L86" s="325"/>
      <c r="M86" s="241"/>
      <c r="N86" s="242"/>
    </row>
    <row r="87" spans="1:14" hidden="1" x14ac:dyDescent="0.3">
      <c r="A87" s="29" t="s">
        <v>133</v>
      </c>
      <c r="B87" s="29" t="s">
        <v>134</v>
      </c>
      <c r="C87" s="30">
        <f t="shared" ref="C87:F87" si="16">SUM(C88:C89)</f>
        <v>0</v>
      </c>
      <c r="D87" s="30">
        <f t="shared" si="16"/>
        <v>-21751</v>
      </c>
      <c r="E87" s="30">
        <f t="shared" si="16"/>
        <v>0</v>
      </c>
      <c r="F87" s="30">
        <f t="shared" si="16"/>
        <v>-21718</v>
      </c>
      <c r="G87" s="30">
        <f t="shared" ref="G87" si="17">SUM(G88:G89)</f>
        <v>-23063</v>
      </c>
      <c r="H87" s="30">
        <f t="shared" ref="H87:J87" si="18">SUM(H88:H89)</f>
        <v>0</v>
      </c>
      <c r="I87" s="30"/>
      <c r="J87" s="30">
        <f t="shared" si="18"/>
        <v>0</v>
      </c>
    </row>
    <row r="88" spans="1:14" s="123" customFormat="1" ht="15" hidden="1" customHeight="1" x14ac:dyDescent="0.3">
      <c r="A88" s="10">
        <v>5500</v>
      </c>
      <c r="B88" s="10" t="s">
        <v>109</v>
      </c>
      <c r="C88" s="99">
        <v>0</v>
      </c>
      <c r="D88" s="99">
        <v>-3409</v>
      </c>
      <c r="E88" s="48">
        <v>0</v>
      </c>
      <c r="F88" s="31">
        <v>-8608</v>
      </c>
      <c r="G88" s="145">
        <v>-20183</v>
      </c>
      <c r="H88" s="145">
        <v>0</v>
      </c>
      <c r="I88" s="145"/>
      <c r="J88" s="283">
        <v>0</v>
      </c>
      <c r="L88" s="121"/>
      <c r="N88" s="242"/>
    </row>
    <row r="89" spans="1:14" s="123" customFormat="1" ht="15" hidden="1" customHeight="1" x14ac:dyDescent="0.3">
      <c r="A89" s="10">
        <v>5502</v>
      </c>
      <c r="B89" s="10" t="s">
        <v>135</v>
      </c>
      <c r="C89" s="99">
        <v>0</v>
      </c>
      <c r="D89" s="99">
        <v>-18342</v>
      </c>
      <c r="E89" s="48">
        <v>0</v>
      </c>
      <c r="F89" s="31">
        <v>-13110</v>
      </c>
      <c r="G89" s="145">
        <v>-2880</v>
      </c>
      <c r="H89" s="145">
        <v>0</v>
      </c>
      <c r="I89" s="145"/>
      <c r="J89" s="283">
        <v>0</v>
      </c>
      <c r="L89" s="121"/>
      <c r="N89" s="242"/>
    </row>
    <row r="90" spans="1:14" s="120" customFormat="1" ht="13" hidden="1" x14ac:dyDescent="0.3">
      <c r="A90" s="28" t="s">
        <v>136</v>
      </c>
      <c r="B90" s="29" t="s">
        <v>137</v>
      </c>
      <c r="C90" s="103">
        <f>SUM(C91:C93)</f>
        <v>0</v>
      </c>
      <c r="D90" s="103">
        <f t="shared" ref="D90:F90" si="19">SUM(D91:D93)</f>
        <v>0</v>
      </c>
      <c r="E90" s="103">
        <f t="shared" si="19"/>
        <v>-3010</v>
      </c>
      <c r="F90" s="103">
        <f t="shared" si="19"/>
        <v>0</v>
      </c>
      <c r="G90" s="103">
        <f t="shared" ref="G90" si="20">SUM(G91:G93)</f>
        <v>0</v>
      </c>
      <c r="H90" s="103">
        <f t="shared" ref="H90" si="21">SUM(H91:H93)</f>
        <v>0</v>
      </c>
      <c r="I90" s="103"/>
      <c r="J90" s="195"/>
      <c r="L90" s="122"/>
      <c r="N90" s="250"/>
    </row>
    <row r="91" spans="1:14" s="144" customFormat="1" hidden="1" x14ac:dyDescent="0.3">
      <c r="A91" s="10">
        <v>5005</v>
      </c>
      <c r="B91" s="10" t="s">
        <v>123</v>
      </c>
      <c r="C91" s="99">
        <v>0</v>
      </c>
      <c r="D91" s="99">
        <v>0</v>
      </c>
      <c r="E91" s="48">
        <v>-2100</v>
      </c>
      <c r="F91" s="31">
        <v>0</v>
      </c>
      <c r="G91" s="145">
        <v>0</v>
      </c>
      <c r="H91" s="145">
        <v>0</v>
      </c>
      <c r="I91" s="145"/>
      <c r="J91" s="283"/>
      <c r="L91" s="305"/>
      <c r="N91" s="251"/>
    </row>
    <row r="92" spans="1:14" s="144" customFormat="1" hidden="1" x14ac:dyDescent="0.3">
      <c r="A92" s="10">
        <v>506</v>
      </c>
      <c r="B92" s="10" t="s">
        <v>108</v>
      </c>
      <c r="C92" s="99">
        <v>0</v>
      </c>
      <c r="D92" s="99">
        <v>0</v>
      </c>
      <c r="E92" s="48">
        <v>-710</v>
      </c>
      <c r="F92" s="31">
        <v>0</v>
      </c>
      <c r="G92" s="145">
        <v>0</v>
      </c>
      <c r="H92" s="145">
        <v>0</v>
      </c>
      <c r="I92" s="145"/>
      <c r="J92" s="283"/>
      <c r="L92" s="305"/>
      <c r="N92" s="251"/>
    </row>
    <row r="93" spans="1:14" s="144" customFormat="1" hidden="1" x14ac:dyDescent="0.3">
      <c r="A93" s="10">
        <v>5513</v>
      </c>
      <c r="B93" s="10" t="s">
        <v>112</v>
      </c>
      <c r="C93" s="99">
        <v>0</v>
      </c>
      <c r="D93" s="99">
        <v>0</v>
      </c>
      <c r="E93" s="48">
        <v>-200</v>
      </c>
      <c r="F93" s="31">
        <v>0</v>
      </c>
      <c r="G93" s="145">
        <v>0</v>
      </c>
      <c r="H93" s="145">
        <v>0</v>
      </c>
      <c r="I93" s="145"/>
      <c r="J93" s="283"/>
      <c r="L93" s="305"/>
      <c r="N93" s="251"/>
    </row>
    <row r="94" spans="1:14" x14ac:dyDescent="0.3">
      <c r="A94" s="29" t="s">
        <v>138</v>
      </c>
      <c r="B94" s="29" t="s">
        <v>139</v>
      </c>
      <c r="C94" s="30">
        <f t="shared" ref="C94:F94" si="22">SUM(C95:C102)</f>
        <v>-8982</v>
      </c>
      <c r="D94" s="30">
        <f t="shared" si="22"/>
        <v>-17479</v>
      </c>
      <c r="E94" s="30">
        <f t="shared" si="22"/>
        <v>-9133</v>
      </c>
      <c r="F94" s="30">
        <f t="shared" si="22"/>
        <v>-23392</v>
      </c>
      <c r="G94" s="30">
        <f t="shared" ref="G94" si="23">SUM(G95:G102)</f>
        <v>-40371</v>
      </c>
      <c r="H94" s="30">
        <f t="shared" ref="H94:J94" si="24">SUM(H95:H102)</f>
        <v>-41000</v>
      </c>
      <c r="I94" s="30">
        <f>SUM(I95:I102)</f>
        <v>-60330.39</v>
      </c>
      <c r="J94" s="30">
        <f t="shared" si="24"/>
        <v>-55500</v>
      </c>
      <c r="M94" s="282"/>
      <c r="N94" s="281"/>
    </row>
    <row r="95" spans="1:14" s="144" customFormat="1" x14ac:dyDescent="0.3">
      <c r="A95" s="10">
        <v>4521</v>
      </c>
      <c r="B95" s="10" t="s">
        <v>140</v>
      </c>
      <c r="C95" s="99">
        <v>0</v>
      </c>
      <c r="D95" s="99">
        <v>-3456</v>
      </c>
      <c r="E95" s="48">
        <v>0</v>
      </c>
      <c r="F95" s="31">
        <v>-3478</v>
      </c>
      <c r="G95" s="151">
        <v>0</v>
      </c>
      <c r="H95" s="151">
        <v>0</v>
      </c>
      <c r="I95" s="151"/>
      <c r="J95" s="357">
        <v>0</v>
      </c>
      <c r="L95" s="305"/>
      <c r="N95" s="251"/>
    </row>
    <row r="96" spans="1:14" s="144" customFormat="1" x14ac:dyDescent="0.3">
      <c r="A96" s="10">
        <v>4500</v>
      </c>
      <c r="B96" s="10" t="s">
        <v>116</v>
      </c>
      <c r="C96" s="99">
        <v>-8982</v>
      </c>
      <c r="D96" s="99">
        <v>0</v>
      </c>
      <c r="E96" s="48">
        <v>0</v>
      </c>
      <c r="F96" s="31">
        <v>0</v>
      </c>
      <c r="G96" s="145"/>
      <c r="H96" s="145"/>
      <c r="I96" s="145">
        <v>-608</v>
      </c>
      <c r="J96" s="357">
        <v>0</v>
      </c>
      <c r="L96" s="305"/>
      <c r="N96" s="251"/>
    </row>
    <row r="97" spans="1:17" s="144" customFormat="1" x14ac:dyDescent="0.3">
      <c r="A97" s="10">
        <v>4528</v>
      </c>
      <c r="B97" s="10" t="s">
        <v>141</v>
      </c>
      <c r="C97" s="99">
        <v>0</v>
      </c>
      <c r="D97" s="99">
        <v>-14023</v>
      </c>
      <c r="E97" s="48">
        <v>-9133</v>
      </c>
      <c r="F97" s="31">
        <v>-12715</v>
      </c>
      <c r="G97" s="145">
        <v>-40371</v>
      </c>
      <c r="H97" s="145">
        <v>-41000</v>
      </c>
      <c r="I97" s="145">
        <v>-41465.08</v>
      </c>
      <c r="J97" s="357">
        <v>-55500</v>
      </c>
      <c r="K97" s="311"/>
      <c r="L97" s="305"/>
      <c r="M97" s="251"/>
      <c r="N97" s="251"/>
    </row>
    <row r="98" spans="1:17" s="144" customFormat="1" x14ac:dyDescent="0.3">
      <c r="A98" s="10">
        <v>5005</v>
      </c>
      <c r="B98" s="10" t="s">
        <v>123</v>
      </c>
      <c r="C98" s="99">
        <v>0</v>
      </c>
      <c r="D98" s="99">
        <v>0</v>
      </c>
      <c r="E98" s="48">
        <v>0</v>
      </c>
      <c r="F98" s="31">
        <v>-4900</v>
      </c>
      <c r="G98" s="145"/>
      <c r="H98" s="145"/>
      <c r="I98" s="145">
        <v>-12740.5</v>
      </c>
      <c r="J98" s="357">
        <v>0</v>
      </c>
      <c r="L98" s="305"/>
      <c r="N98" s="251"/>
      <c r="O98" s="296"/>
      <c r="P98" s="296"/>
      <c r="Q98" s="296"/>
    </row>
    <row r="99" spans="1:17" s="144" customFormat="1" x14ac:dyDescent="0.3">
      <c r="A99" s="10">
        <v>506</v>
      </c>
      <c r="B99" s="10" t="s">
        <v>108</v>
      </c>
      <c r="C99" s="99">
        <v>0</v>
      </c>
      <c r="D99" s="99">
        <v>0</v>
      </c>
      <c r="E99" s="48">
        <v>0</v>
      </c>
      <c r="F99" s="31">
        <v>-1657</v>
      </c>
      <c r="G99" s="145"/>
      <c r="H99" s="145"/>
      <c r="I99" s="145">
        <v>-4306.3100000000004</v>
      </c>
      <c r="J99" s="363">
        <v>0</v>
      </c>
      <c r="L99" s="305"/>
      <c r="N99" s="251"/>
    </row>
    <row r="100" spans="1:17" s="144" customFormat="1" x14ac:dyDescent="0.3">
      <c r="A100" s="10">
        <v>5500</v>
      </c>
      <c r="B100" s="10" t="s">
        <v>109</v>
      </c>
      <c r="C100" s="99">
        <v>0</v>
      </c>
      <c r="D100" s="99">
        <v>0</v>
      </c>
      <c r="E100" s="48">
        <v>0</v>
      </c>
      <c r="F100" s="31">
        <v>-287</v>
      </c>
      <c r="G100" s="145"/>
      <c r="H100" s="145"/>
      <c r="I100" s="145">
        <v>-441.6</v>
      </c>
      <c r="J100" s="203">
        <v>0</v>
      </c>
      <c r="L100" s="305"/>
      <c r="N100" s="251"/>
    </row>
    <row r="101" spans="1:17" s="144" customFormat="1" x14ac:dyDescent="0.3">
      <c r="A101" s="10">
        <v>5513</v>
      </c>
      <c r="B101" s="10" t="s">
        <v>112</v>
      </c>
      <c r="C101" s="99">
        <v>0</v>
      </c>
      <c r="D101" s="99">
        <v>0</v>
      </c>
      <c r="E101" s="48">
        <v>0</v>
      </c>
      <c r="F101" s="31">
        <v>-275</v>
      </c>
      <c r="G101" s="145"/>
      <c r="H101" s="145"/>
      <c r="I101" s="145">
        <v>-768.9</v>
      </c>
      <c r="J101" s="203">
        <v>0</v>
      </c>
      <c r="L101" s="305"/>
      <c r="N101" s="251"/>
    </row>
    <row r="102" spans="1:17" s="144" customFormat="1" x14ac:dyDescent="0.3">
      <c r="A102" s="10">
        <v>5540</v>
      </c>
      <c r="B102" s="10" t="s">
        <v>129</v>
      </c>
      <c r="C102" s="99">
        <v>0</v>
      </c>
      <c r="D102" s="99">
        <v>0</v>
      </c>
      <c r="E102" s="48">
        <v>0</v>
      </c>
      <c r="F102" s="31">
        <v>-80</v>
      </c>
      <c r="G102" s="145"/>
      <c r="H102" s="145"/>
      <c r="I102" s="145"/>
      <c r="J102" s="203">
        <v>0</v>
      </c>
      <c r="K102" s="326"/>
      <c r="L102" s="327"/>
      <c r="N102" s="251"/>
    </row>
    <row r="103" spans="1:17" x14ac:dyDescent="0.3">
      <c r="A103" s="32" t="s">
        <v>142</v>
      </c>
      <c r="B103" s="33" t="s">
        <v>143</v>
      </c>
      <c r="C103" s="34">
        <f t="shared" ref="C103:F103" si="25">SUM(C104+C111)</f>
        <v>0</v>
      </c>
      <c r="D103" s="34">
        <f t="shared" si="25"/>
        <v>-21814</v>
      </c>
      <c r="E103" s="34">
        <f t="shared" si="25"/>
        <v>0</v>
      </c>
      <c r="F103" s="34">
        <f t="shared" si="25"/>
        <v>-17675</v>
      </c>
      <c r="G103" s="34">
        <f t="shared" ref="G103" si="26">SUM(G104+G111)</f>
        <v>-21147</v>
      </c>
      <c r="H103" s="34">
        <f>SUM(H104+H111)</f>
        <v>-21626</v>
      </c>
      <c r="I103" s="34">
        <f>SUM(I104+I111)</f>
        <v>-19904.04</v>
      </c>
      <c r="J103" s="34">
        <f>SUM(J104+J111)</f>
        <v>-19719.400000000001</v>
      </c>
    </row>
    <row r="104" spans="1:17" x14ac:dyDescent="0.3">
      <c r="A104" s="33" t="s">
        <v>144</v>
      </c>
      <c r="B104" s="33" t="s">
        <v>145</v>
      </c>
      <c r="C104" s="34">
        <f t="shared" ref="C104:F104" si="27">SUM(C105:C110)</f>
        <v>0</v>
      </c>
      <c r="D104" s="34">
        <f t="shared" si="27"/>
        <v>-511</v>
      </c>
      <c r="E104" s="34">
        <f t="shared" si="27"/>
        <v>0</v>
      </c>
      <c r="F104" s="34">
        <f t="shared" si="27"/>
        <v>-567</v>
      </c>
      <c r="G104" s="34">
        <f t="shared" ref="G104" si="28">SUM(G105:G110)</f>
        <v>-260</v>
      </c>
      <c r="H104" s="34">
        <f t="shared" ref="H104" si="29">SUM(H105:H110)</f>
        <v>-718</v>
      </c>
      <c r="I104" s="34">
        <f>SUM(I105:I110)</f>
        <v>-357.24</v>
      </c>
      <c r="J104" s="229">
        <f>SUM(J105:J110)</f>
        <v>0</v>
      </c>
    </row>
    <row r="105" spans="1:17" s="144" customFormat="1" x14ac:dyDescent="0.3">
      <c r="A105" s="10">
        <v>5005</v>
      </c>
      <c r="B105" s="10" t="s">
        <v>123</v>
      </c>
      <c r="C105" s="99">
        <v>0</v>
      </c>
      <c r="D105" s="31">
        <v>-69</v>
      </c>
      <c r="E105" s="48">
        <v>0</v>
      </c>
      <c r="F105" s="31">
        <v>-69</v>
      </c>
      <c r="G105" s="145">
        <v>0</v>
      </c>
      <c r="H105" s="145">
        <v>-200</v>
      </c>
      <c r="I105" s="145"/>
      <c r="J105" s="203">
        <v>0</v>
      </c>
      <c r="L105" s="305"/>
      <c r="N105" s="251"/>
    </row>
    <row r="106" spans="1:17" s="144" customFormat="1" x14ac:dyDescent="0.3">
      <c r="A106" s="10">
        <v>506</v>
      </c>
      <c r="B106" s="10" t="s">
        <v>108</v>
      </c>
      <c r="C106" s="99">
        <v>0</v>
      </c>
      <c r="D106" s="31">
        <v>-23</v>
      </c>
      <c r="E106" s="48">
        <v>0</v>
      </c>
      <c r="F106" s="31">
        <v>-23</v>
      </c>
      <c r="G106" s="145">
        <v>0</v>
      </c>
      <c r="H106" s="145">
        <v>-68</v>
      </c>
      <c r="I106" s="145"/>
      <c r="J106" s="203">
        <v>0</v>
      </c>
      <c r="L106" s="305"/>
      <c r="N106" s="251"/>
    </row>
    <row r="107" spans="1:17" s="144" customFormat="1" x14ac:dyDescent="0.3">
      <c r="A107" s="10">
        <v>5500</v>
      </c>
      <c r="B107" s="10" t="s">
        <v>109</v>
      </c>
      <c r="C107" s="99">
        <v>0</v>
      </c>
      <c r="D107" s="31">
        <v>-77</v>
      </c>
      <c r="E107" s="48">
        <v>0</v>
      </c>
      <c r="F107" s="31">
        <v>-133</v>
      </c>
      <c r="G107" s="145">
        <v>-61</v>
      </c>
      <c r="H107" s="145">
        <v>-100</v>
      </c>
      <c r="I107" s="145">
        <v>-14.94</v>
      </c>
      <c r="J107" s="203">
        <v>0</v>
      </c>
      <c r="L107" s="305"/>
      <c r="N107" s="251"/>
    </row>
    <row r="108" spans="1:17" s="144" customFormat="1" x14ac:dyDescent="0.3">
      <c r="A108" s="10">
        <v>5511</v>
      </c>
      <c r="B108" s="10" t="s">
        <v>125</v>
      </c>
      <c r="C108" s="99">
        <v>0</v>
      </c>
      <c r="D108" s="31">
        <v>-342</v>
      </c>
      <c r="E108" s="48">
        <v>0</v>
      </c>
      <c r="F108" s="31">
        <v>-342</v>
      </c>
      <c r="G108" s="145">
        <v>-199</v>
      </c>
      <c r="H108" s="145">
        <v>-350</v>
      </c>
      <c r="I108" s="145">
        <v>-342.3</v>
      </c>
      <c r="J108" s="203">
        <v>0</v>
      </c>
      <c r="L108" s="305"/>
      <c r="N108" s="251"/>
    </row>
    <row r="109" spans="1:17" s="144" customFormat="1" x14ac:dyDescent="0.3">
      <c r="A109" s="10">
        <v>5513</v>
      </c>
      <c r="B109" s="10" t="s">
        <v>112</v>
      </c>
      <c r="C109" s="99">
        <v>0</v>
      </c>
      <c r="D109" s="31">
        <v>0</v>
      </c>
      <c r="E109" s="48">
        <v>0</v>
      </c>
      <c r="F109" s="31">
        <v>0</v>
      </c>
      <c r="G109" s="145">
        <v>0</v>
      </c>
      <c r="H109" s="145">
        <v>0</v>
      </c>
      <c r="I109" s="145"/>
      <c r="J109" s="203">
        <v>0</v>
      </c>
      <c r="L109" s="305"/>
      <c r="N109" s="251"/>
    </row>
    <row r="110" spans="1:17" s="144" customFormat="1" x14ac:dyDescent="0.3">
      <c r="A110" s="10">
        <v>5521</v>
      </c>
      <c r="B110" s="10" t="s">
        <v>146</v>
      </c>
      <c r="C110" s="99">
        <v>0</v>
      </c>
      <c r="D110" s="31">
        <v>0</v>
      </c>
      <c r="E110" s="48">
        <v>0</v>
      </c>
      <c r="F110" s="31">
        <v>0</v>
      </c>
      <c r="G110" s="145">
        <v>0</v>
      </c>
      <c r="H110" s="145">
        <v>0</v>
      </c>
      <c r="I110" s="145"/>
      <c r="J110" s="203">
        <v>0</v>
      </c>
      <c r="L110" s="305"/>
      <c r="N110" s="251"/>
    </row>
    <row r="111" spans="1:17" x14ac:dyDescent="0.3">
      <c r="A111" s="33" t="s">
        <v>147</v>
      </c>
      <c r="B111" s="33" t="s">
        <v>148</v>
      </c>
      <c r="C111" s="34">
        <f t="shared" ref="C111:F111" si="30">SUM(C112:C120)</f>
        <v>0</v>
      </c>
      <c r="D111" s="34">
        <f t="shared" si="30"/>
        <v>-21303</v>
      </c>
      <c r="E111" s="34">
        <f t="shared" si="30"/>
        <v>0</v>
      </c>
      <c r="F111" s="34">
        <f t="shared" si="30"/>
        <v>-17108</v>
      </c>
      <c r="G111" s="34">
        <f t="shared" ref="G111" si="31">SUM(G112:G120)</f>
        <v>-20887</v>
      </c>
      <c r="H111" s="34">
        <f t="shared" ref="H111:J111" si="32">SUM(H112:H120)</f>
        <v>-20908</v>
      </c>
      <c r="I111" s="34">
        <f>SUM(I112:I120)</f>
        <v>-19546.8</v>
      </c>
      <c r="J111" s="34">
        <f t="shared" si="32"/>
        <v>-19719.400000000001</v>
      </c>
      <c r="M111" s="231"/>
      <c r="N111" s="246"/>
    </row>
    <row r="112" spans="1:17" s="144" customFormat="1" x14ac:dyDescent="0.3">
      <c r="A112" s="10">
        <v>5002</v>
      </c>
      <c r="B112" s="10" t="s">
        <v>121</v>
      </c>
      <c r="C112" s="99">
        <v>0</v>
      </c>
      <c r="D112" s="31">
        <v>-7600</v>
      </c>
      <c r="E112" s="48">
        <v>0</v>
      </c>
      <c r="F112" s="31">
        <v>-6622</v>
      </c>
      <c r="G112" s="145">
        <v>-8614</v>
      </c>
      <c r="H112" s="145">
        <v>-8900</v>
      </c>
      <c r="I112" s="145">
        <v>-11286.98</v>
      </c>
      <c r="J112" s="203">
        <v>-11300</v>
      </c>
      <c r="L112" s="305"/>
      <c r="N112" s="251"/>
    </row>
    <row r="113" spans="1:14" s="144" customFormat="1" x14ac:dyDescent="0.3">
      <c r="A113" s="10">
        <v>506</v>
      </c>
      <c r="B113" s="10" t="s">
        <v>108</v>
      </c>
      <c r="C113" s="99">
        <v>0</v>
      </c>
      <c r="D113" s="31">
        <v>-2677</v>
      </c>
      <c r="E113" s="48">
        <v>0</v>
      </c>
      <c r="F113" s="31">
        <v>-2491</v>
      </c>
      <c r="G113" s="145">
        <v>-2911</v>
      </c>
      <c r="H113" s="145">
        <v>-3008</v>
      </c>
      <c r="I113" s="145">
        <v>-3814.99</v>
      </c>
      <c r="J113" s="203">
        <f>J112*0.338</f>
        <v>-3819.4</v>
      </c>
      <c r="K113" s="296"/>
      <c r="L113" s="328"/>
      <c r="N113" s="251"/>
    </row>
    <row r="114" spans="1:14" s="144" customFormat="1" x14ac:dyDescent="0.3">
      <c r="A114" s="10">
        <v>5500</v>
      </c>
      <c r="B114" s="10" t="s">
        <v>109</v>
      </c>
      <c r="C114" s="99">
        <v>0</v>
      </c>
      <c r="D114" s="31">
        <v>0</v>
      </c>
      <c r="E114" s="48">
        <v>0</v>
      </c>
      <c r="F114" s="31">
        <v>-18</v>
      </c>
      <c r="G114" s="145">
        <v>0</v>
      </c>
      <c r="H114" s="145">
        <v>0</v>
      </c>
      <c r="I114" s="145">
        <v>-69.930000000000007</v>
      </c>
      <c r="J114" s="203">
        <v>0</v>
      </c>
      <c r="L114" s="305"/>
      <c r="N114" s="251"/>
    </row>
    <row r="115" spans="1:14" s="144" customFormat="1" x14ac:dyDescent="0.3">
      <c r="A115" s="10">
        <v>5512</v>
      </c>
      <c r="B115" s="10" t="s">
        <v>149</v>
      </c>
      <c r="C115" s="99">
        <v>0</v>
      </c>
      <c r="D115" s="31">
        <v>-6390</v>
      </c>
      <c r="E115" s="48">
        <v>0</v>
      </c>
      <c r="F115" s="31">
        <v>-7297</v>
      </c>
      <c r="G115" s="145">
        <v>-7978</v>
      </c>
      <c r="H115" s="145">
        <v>-7500</v>
      </c>
      <c r="I115" s="145">
        <v>-2309.19</v>
      </c>
      <c r="J115" s="203">
        <v>-2500</v>
      </c>
      <c r="L115" s="305"/>
      <c r="N115" s="251"/>
    </row>
    <row r="116" spans="1:14" s="144" customFormat="1" x14ac:dyDescent="0.3">
      <c r="A116" s="10">
        <v>5513</v>
      </c>
      <c r="B116" s="10" t="s">
        <v>112</v>
      </c>
      <c r="C116" s="99">
        <v>0</v>
      </c>
      <c r="D116" s="31">
        <v>-267</v>
      </c>
      <c r="E116" s="48">
        <v>0</v>
      </c>
      <c r="F116" s="31">
        <v>0</v>
      </c>
      <c r="G116" s="145">
        <v>-247</v>
      </c>
      <c r="H116" s="145">
        <v>-300</v>
      </c>
      <c r="I116" s="145">
        <v>-131</v>
      </c>
      <c r="J116" s="203">
        <v>-300</v>
      </c>
      <c r="L116" s="305"/>
      <c r="N116" s="251"/>
    </row>
    <row r="117" spans="1:14" s="144" customFormat="1" x14ac:dyDescent="0.3">
      <c r="A117" s="10">
        <v>5514</v>
      </c>
      <c r="B117" s="10" t="s">
        <v>113</v>
      </c>
      <c r="C117" s="99">
        <v>0</v>
      </c>
      <c r="D117" s="31">
        <v>-399</v>
      </c>
      <c r="E117" s="48">
        <v>0</v>
      </c>
      <c r="F117" s="31">
        <v>-640</v>
      </c>
      <c r="G117" s="145">
        <v>-828</v>
      </c>
      <c r="H117" s="145">
        <v>-800</v>
      </c>
      <c r="I117" s="145">
        <v>-769.23</v>
      </c>
      <c r="J117" s="203">
        <v>-800</v>
      </c>
      <c r="L117" s="305"/>
      <c r="N117" s="251"/>
    </row>
    <row r="118" spans="1:14" s="144" customFormat="1" x14ac:dyDescent="0.3">
      <c r="A118" s="10">
        <v>5515</v>
      </c>
      <c r="B118" s="10" t="s">
        <v>126</v>
      </c>
      <c r="C118" s="99">
        <v>0</v>
      </c>
      <c r="D118" s="31">
        <v>-3675</v>
      </c>
      <c r="E118" s="48">
        <v>0</v>
      </c>
      <c r="F118" s="31">
        <v>0</v>
      </c>
      <c r="G118" s="145">
        <v>-309</v>
      </c>
      <c r="H118" s="145">
        <v>-400</v>
      </c>
      <c r="I118" s="145">
        <v>-525</v>
      </c>
      <c r="J118" s="203">
        <v>-500</v>
      </c>
      <c r="L118" s="305"/>
      <c r="N118" s="251"/>
    </row>
    <row r="119" spans="1:14" s="144" customFormat="1" x14ac:dyDescent="0.3">
      <c r="A119" s="10">
        <v>5522</v>
      </c>
      <c r="B119" s="10" t="s">
        <v>127</v>
      </c>
      <c r="C119" s="99">
        <v>0</v>
      </c>
      <c r="D119" s="31">
        <v>-33</v>
      </c>
      <c r="E119" s="48">
        <v>0</v>
      </c>
      <c r="F119" s="31">
        <v>-40</v>
      </c>
      <c r="G119" s="145">
        <v>0</v>
      </c>
      <c r="H119" s="145">
        <v>0</v>
      </c>
      <c r="I119" s="145">
        <v>-310.8</v>
      </c>
      <c r="J119" s="203">
        <v>-500</v>
      </c>
      <c r="K119" s="296"/>
      <c r="L119" s="299"/>
      <c r="N119" s="251"/>
    </row>
    <row r="120" spans="1:14" s="144" customFormat="1" x14ac:dyDescent="0.3">
      <c r="A120" s="10">
        <v>5532</v>
      </c>
      <c r="B120" s="10" t="s">
        <v>150</v>
      </c>
      <c r="C120" s="99">
        <v>0</v>
      </c>
      <c r="D120" s="31">
        <v>-262</v>
      </c>
      <c r="E120" s="48">
        <v>0</v>
      </c>
      <c r="F120" s="31">
        <v>0</v>
      </c>
      <c r="G120" s="145">
        <v>0</v>
      </c>
      <c r="H120" s="145">
        <v>0</v>
      </c>
      <c r="I120" s="145">
        <v>-329.68</v>
      </c>
      <c r="J120" s="203">
        <v>0</v>
      </c>
      <c r="K120" s="296"/>
      <c r="L120" s="328"/>
      <c r="N120" s="251"/>
    </row>
    <row r="121" spans="1:14" x14ac:dyDescent="0.3">
      <c r="A121" s="35" t="s">
        <v>151</v>
      </c>
      <c r="B121" s="36" t="s">
        <v>152</v>
      </c>
      <c r="C121" s="37">
        <f t="shared" ref="C121:J121" si="33">SUM(C122+C125+C127+C135+C137)</f>
        <v>-127791</v>
      </c>
      <c r="D121" s="37">
        <f t="shared" si="33"/>
        <v>-189084</v>
      </c>
      <c r="E121" s="37">
        <f t="shared" si="33"/>
        <v>-115536</v>
      </c>
      <c r="F121" s="37">
        <f t="shared" si="33"/>
        <v>-164859</v>
      </c>
      <c r="G121" s="37">
        <f t="shared" si="33"/>
        <v>-257015</v>
      </c>
      <c r="H121" s="37">
        <f t="shared" si="33"/>
        <v>-581000</v>
      </c>
      <c r="I121" s="37">
        <f t="shared" si="33"/>
        <v>-458354.41</v>
      </c>
      <c r="J121" s="37">
        <f t="shared" si="33"/>
        <v>-534928</v>
      </c>
      <c r="K121" s="288"/>
      <c r="L121" s="292"/>
    </row>
    <row r="122" spans="1:14" x14ac:dyDescent="0.3">
      <c r="A122" s="36" t="s">
        <v>153</v>
      </c>
      <c r="B122" s="36" t="s">
        <v>154</v>
      </c>
      <c r="C122" s="37">
        <f t="shared" ref="C122:F122" si="34">SUM(C123:C124)</f>
        <v>-3160</v>
      </c>
      <c r="D122" s="37">
        <f t="shared" si="34"/>
        <v>-1460</v>
      </c>
      <c r="E122" s="37">
        <f t="shared" si="34"/>
        <v>-951</v>
      </c>
      <c r="F122" s="37">
        <f t="shared" si="34"/>
        <v>-370</v>
      </c>
      <c r="G122" s="37">
        <f>SUM(G123:G124)</f>
        <v>-2919</v>
      </c>
      <c r="H122" s="37">
        <f>SUM(H123:H124)</f>
        <v>-3000</v>
      </c>
      <c r="I122" s="37">
        <f>SUM(I123:I124)</f>
        <v>-3178.92</v>
      </c>
      <c r="J122" s="37">
        <f>SUM(J123:J124)</f>
        <v>-5000</v>
      </c>
      <c r="K122" s="288"/>
      <c r="L122" s="292"/>
      <c r="M122" s="231"/>
    </row>
    <row r="123" spans="1:14" s="144" customFormat="1" x14ac:dyDescent="0.3">
      <c r="A123" s="10">
        <v>5500</v>
      </c>
      <c r="B123" s="10" t="s">
        <v>109</v>
      </c>
      <c r="C123" s="99">
        <v>0</v>
      </c>
      <c r="D123" s="31">
        <v>-1460</v>
      </c>
      <c r="E123" s="48">
        <v>0</v>
      </c>
      <c r="F123" s="31">
        <v>-210</v>
      </c>
      <c r="G123" s="145">
        <v>-1438</v>
      </c>
      <c r="H123" s="145">
        <v>-3000</v>
      </c>
      <c r="I123" s="145"/>
      <c r="J123" s="203">
        <v>-5000</v>
      </c>
      <c r="K123" s="296"/>
      <c r="L123" s="328"/>
      <c r="N123" s="251"/>
    </row>
    <row r="124" spans="1:14" s="144" customFormat="1" x14ac:dyDescent="0.3">
      <c r="A124" s="10">
        <v>5502</v>
      </c>
      <c r="B124" s="10" t="s">
        <v>110</v>
      </c>
      <c r="C124" s="99">
        <v>-3160</v>
      </c>
      <c r="D124" s="99">
        <v>0</v>
      </c>
      <c r="E124" s="48">
        <v>-951</v>
      </c>
      <c r="F124" s="31">
        <v>-160</v>
      </c>
      <c r="G124" s="145">
        <v>-1481</v>
      </c>
      <c r="H124" s="145">
        <v>0</v>
      </c>
      <c r="I124" s="145">
        <v>-3178.92</v>
      </c>
      <c r="J124" s="203">
        <v>0</v>
      </c>
      <c r="K124" s="296"/>
      <c r="L124" s="299"/>
      <c r="N124" s="251"/>
    </row>
    <row r="125" spans="1:14" hidden="1" x14ac:dyDescent="0.3">
      <c r="A125" s="36" t="s">
        <v>155</v>
      </c>
      <c r="B125" s="36" t="s">
        <v>156</v>
      </c>
      <c r="C125" s="37">
        <f t="shared" ref="C125:F125" si="35">SUM(C126:C126)</f>
        <v>0</v>
      </c>
      <c r="D125" s="37">
        <f t="shared" si="35"/>
        <v>-8050</v>
      </c>
      <c r="E125" s="37">
        <f t="shared" si="35"/>
        <v>0</v>
      </c>
      <c r="F125" s="37">
        <f t="shared" si="35"/>
        <v>0</v>
      </c>
      <c r="G125" s="37">
        <f>SUM(G126:G126)</f>
        <v>0</v>
      </c>
      <c r="H125" s="37">
        <f>SUM(H126:H126)</f>
        <v>0</v>
      </c>
      <c r="I125" s="37"/>
      <c r="J125" s="202"/>
    </row>
    <row r="126" spans="1:14" hidden="1" x14ac:dyDescent="0.3">
      <c r="A126" s="10">
        <v>4500</v>
      </c>
      <c r="B126" s="10" t="s">
        <v>116</v>
      </c>
      <c r="C126" s="99">
        <v>0</v>
      </c>
      <c r="D126" s="31">
        <v>-8050</v>
      </c>
      <c r="E126" s="48">
        <v>0</v>
      </c>
      <c r="F126" s="31">
        <v>0</v>
      </c>
      <c r="G126" s="145">
        <v>0</v>
      </c>
      <c r="H126" s="145">
        <v>0</v>
      </c>
      <c r="I126" s="145"/>
      <c r="J126" s="202"/>
    </row>
    <row r="127" spans="1:14" x14ac:dyDescent="0.3">
      <c r="A127" s="36" t="s">
        <v>157</v>
      </c>
      <c r="B127" s="36" t="s">
        <v>158</v>
      </c>
      <c r="C127" s="37">
        <f t="shared" ref="C127:F127" si="36">SUM(C128:C134)</f>
        <v>-123276</v>
      </c>
      <c r="D127" s="37">
        <f t="shared" si="36"/>
        <v>-179574</v>
      </c>
      <c r="E127" s="37">
        <f t="shared" si="36"/>
        <v>-113626</v>
      </c>
      <c r="F127" s="37">
        <f t="shared" si="36"/>
        <v>-153489</v>
      </c>
      <c r="G127" s="37">
        <f t="shared" ref="G127" si="37">SUM(G128:G134)</f>
        <v>-254096</v>
      </c>
      <c r="H127" s="37">
        <f>SUM(H128:H134)</f>
        <v>-550000</v>
      </c>
      <c r="I127" s="37">
        <f>SUM(I128:I134)</f>
        <v>-448374.69</v>
      </c>
      <c r="J127" s="37">
        <f t="shared" ref="J127" si="38">SUM(J128:J134)</f>
        <v>-442600</v>
      </c>
      <c r="M127" s="231"/>
    </row>
    <row r="128" spans="1:14" s="144" customFormat="1" x14ac:dyDescent="0.3">
      <c r="A128" s="10">
        <v>5002</v>
      </c>
      <c r="B128" s="10" t="s">
        <v>121</v>
      </c>
      <c r="C128" s="99">
        <v>0</v>
      </c>
      <c r="D128" s="31">
        <v>-9628</v>
      </c>
      <c r="E128" s="48">
        <v>0</v>
      </c>
      <c r="F128" s="31">
        <v>0</v>
      </c>
      <c r="G128" s="145">
        <v>0</v>
      </c>
      <c r="H128" s="145">
        <v>0</v>
      </c>
      <c r="I128" s="145"/>
      <c r="J128" s="203"/>
      <c r="L128" s="305"/>
      <c r="N128" s="251"/>
    </row>
    <row r="129" spans="1:14" s="144" customFormat="1" x14ac:dyDescent="0.3">
      <c r="A129" s="10">
        <v>506</v>
      </c>
      <c r="B129" s="10" t="s">
        <v>108</v>
      </c>
      <c r="C129" s="99">
        <v>0</v>
      </c>
      <c r="D129" s="31">
        <v>-3179</v>
      </c>
      <c r="E129" s="48">
        <v>0</v>
      </c>
      <c r="F129" s="31">
        <v>0</v>
      </c>
      <c r="G129" s="145">
        <v>0</v>
      </c>
      <c r="H129" s="145">
        <v>0</v>
      </c>
      <c r="I129" s="145"/>
      <c r="J129" s="203"/>
      <c r="L129" s="305"/>
      <c r="N129" s="251"/>
    </row>
    <row r="130" spans="1:14" s="144" customFormat="1" x14ac:dyDescent="0.3">
      <c r="A130" s="10">
        <v>5500</v>
      </c>
      <c r="B130" s="10" t="s">
        <v>109</v>
      </c>
      <c r="C130" s="99">
        <v>0</v>
      </c>
      <c r="D130" s="31">
        <v>-160</v>
      </c>
      <c r="E130" s="48">
        <v>0</v>
      </c>
      <c r="F130" s="31">
        <v>0</v>
      </c>
      <c r="G130" s="145">
        <v>0</v>
      </c>
      <c r="H130" s="145">
        <v>0</v>
      </c>
      <c r="I130" s="145"/>
      <c r="J130" s="203"/>
      <c r="L130" s="305"/>
      <c r="N130" s="251"/>
    </row>
    <row r="131" spans="1:14" s="144" customFormat="1" x14ac:dyDescent="0.3">
      <c r="A131" s="10">
        <v>5502</v>
      </c>
      <c r="B131" s="10" t="s">
        <v>110</v>
      </c>
      <c r="C131" s="99">
        <v>0</v>
      </c>
      <c r="D131" s="99">
        <v>0</v>
      </c>
      <c r="E131" s="48">
        <v>-15708</v>
      </c>
      <c r="F131" s="31">
        <v>0</v>
      </c>
      <c r="G131" s="145">
        <v>0</v>
      </c>
      <c r="H131" s="145">
        <v>0</v>
      </c>
      <c r="I131" s="145"/>
      <c r="J131" s="203"/>
      <c r="L131" s="305"/>
      <c r="N131" s="251"/>
    </row>
    <row r="132" spans="1:14" s="144" customFormat="1" x14ac:dyDescent="0.3">
      <c r="A132" s="10">
        <v>5512</v>
      </c>
      <c r="B132" s="10" t="s">
        <v>149</v>
      </c>
      <c r="C132" s="99">
        <v>-123276</v>
      </c>
      <c r="D132" s="31">
        <v>-166140</v>
      </c>
      <c r="E132" s="48">
        <v>-97918</v>
      </c>
      <c r="F132" s="31">
        <v>-153489</v>
      </c>
      <c r="G132" s="151">
        <v>-254096</v>
      </c>
      <c r="H132" s="48">
        <f>-350000-200000</f>
        <v>-550000</v>
      </c>
      <c r="I132" s="151">
        <v>-448374.69</v>
      </c>
      <c r="J132" s="357">
        <v>-442600</v>
      </c>
      <c r="K132" s="311"/>
      <c r="L132" s="305"/>
      <c r="M132" s="251"/>
      <c r="N132" s="259"/>
    </row>
    <row r="133" spans="1:14" s="144" customFormat="1" x14ac:dyDescent="0.3">
      <c r="A133" s="10">
        <v>5515</v>
      </c>
      <c r="B133" s="10" t="s">
        <v>126</v>
      </c>
      <c r="C133" s="99">
        <v>0</v>
      </c>
      <c r="D133" s="31">
        <v>-42</v>
      </c>
      <c r="E133" s="48">
        <v>0</v>
      </c>
      <c r="F133" s="31">
        <v>0</v>
      </c>
      <c r="G133" s="145">
        <v>0</v>
      </c>
      <c r="H133" s="145">
        <v>0</v>
      </c>
      <c r="I133" s="145"/>
      <c r="J133" s="203">
        <v>0</v>
      </c>
      <c r="K133" s="296"/>
      <c r="L133" s="328"/>
      <c r="N133" s="251"/>
    </row>
    <row r="134" spans="1:14" s="144" customFormat="1" x14ac:dyDescent="0.3">
      <c r="A134" s="10">
        <v>5532</v>
      </c>
      <c r="B134" s="10" t="s">
        <v>150</v>
      </c>
      <c r="C134" s="99">
        <v>0</v>
      </c>
      <c r="D134" s="31">
        <v>-425</v>
      </c>
      <c r="E134" s="48">
        <v>0</v>
      </c>
      <c r="F134" s="31">
        <v>0</v>
      </c>
      <c r="G134" s="145">
        <v>0</v>
      </c>
      <c r="H134" s="145">
        <v>0</v>
      </c>
      <c r="I134" s="145"/>
      <c r="J134" s="203">
        <v>0</v>
      </c>
      <c r="K134" s="296"/>
      <c r="L134" s="299"/>
      <c r="N134" s="251"/>
    </row>
    <row r="135" spans="1:14" hidden="1" x14ac:dyDescent="0.3">
      <c r="A135" s="36" t="s">
        <v>159</v>
      </c>
      <c r="B135" s="36" t="s">
        <v>160</v>
      </c>
      <c r="C135" s="37">
        <f t="shared" ref="C135:F135" si="39">SUM(C136:C136)</f>
        <v>0</v>
      </c>
      <c r="D135" s="37">
        <f t="shared" si="39"/>
        <v>0</v>
      </c>
      <c r="E135" s="37">
        <f t="shared" si="39"/>
        <v>0</v>
      </c>
      <c r="F135" s="37">
        <f t="shared" si="39"/>
        <v>-11000</v>
      </c>
      <c r="G135" s="37">
        <f>SUM(G136:G136)</f>
        <v>0</v>
      </c>
      <c r="H135" s="37">
        <f>SUM(H136:H136)</f>
        <v>0</v>
      </c>
      <c r="I135" s="37"/>
      <c r="J135" s="202"/>
      <c r="K135" s="288"/>
      <c r="L135" s="292"/>
    </row>
    <row r="136" spans="1:14" hidden="1" x14ac:dyDescent="0.3">
      <c r="A136" s="10">
        <v>4500</v>
      </c>
      <c r="B136" s="10" t="s">
        <v>161</v>
      </c>
      <c r="C136" s="99">
        <v>0</v>
      </c>
      <c r="D136" s="99">
        <v>0</v>
      </c>
      <c r="E136" s="48">
        <v>0</v>
      </c>
      <c r="F136" s="31">
        <v>-11000</v>
      </c>
      <c r="G136" s="145">
        <v>0</v>
      </c>
      <c r="H136" s="145">
        <v>0</v>
      </c>
      <c r="I136" s="145"/>
      <c r="J136" s="202"/>
      <c r="K136" s="288"/>
      <c r="L136" s="292"/>
    </row>
    <row r="137" spans="1:14" s="120" customFormat="1" ht="15" customHeight="1" x14ac:dyDescent="0.3">
      <c r="A137" s="35" t="s">
        <v>162</v>
      </c>
      <c r="B137" s="36" t="s">
        <v>163</v>
      </c>
      <c r="C137" s="104">
        <f>C138</f>
        <v>-1355</v>
      </c>
      <c r="D137" s="104">
        <f t="shared" ref="D137:G137" si="40">D138</f>
        <v>0</v>
      </c>
      <c r="E137" s="104">
        <f t="shared" si="40"/>
        <v>-959</v>
      </c>
      <c r="F137" s="104">
        <f t="shared" si="40"/>
        <v>0</v>
      </c>
      <c r="G137" s="104">
        <f t="shared" si="40"/>
        <v>0</v>
      </c>
      <c r="H137" s="104">
        <f>H138+H139</f>
        <v>-28000</v>
      </c>
      <c r="I137" s="104">
        <f>I138+I139</f>
        <v>-6800.8</v>
      </c>
      <c r="J137" s="104">
        <f>J138+J139</f>
        <v>-87328</v>
      </c>
      <c r="K137" s="329"/>
      <c r="L137" s="330"/>
      <c r="M137" s="240"/>
      <c r="N137" s="250"/>
    </row>
    <row r="138" spans="1:14" x14ac:dyDescent="0.3">
      <c r="A138" s="49" t="s">
        <v>164</v>
      </c>
      <c r="B138" s="10" t="s">
        <v>116</v>
      </c>
      <c r="C138" s="99">
        <v>-1355</v>
      </c>
      <c r="D138" s="99">
        <v>0</v>
      </c>
      <c r="E138" s="48">
        <v>-959</v>
      </c>
      <c r="F138" s="31">
        <v>0</v>
      </c>
      <c r="G138" s="148">
        <v>0</v>
      </c>
      <c r="H138" s="145">
        <v>0</v>
      </c>
      <c r="I138" s="145"/>
      <c r="J138" s="202">
        <v>0</v>
      </c>
      <c r="K138" s="288"/>
      <c r="L138" s="292"/>
    </row>
    <row r="139" spans="1:14" x14ac:dyDescent="0.3">
      <c r="A139" s="49" t="s">
        <v>165</v>
      </c>
      <c r="B139" s="10" t="s">
        <v>110</v>
      </c>
      <c r="C139" s="99"/>
      <c r="D139" s="99"/>
      <c r="E139" s="48"/>
      <c r="F139" s="31"/>
      <c r="G139" s="148"/>
      <c r="H139" s="48">
        <v>-28000</v>
      </c>
      <c r="I139" s="145">
        <v>-6800.8</v>
      </c>
      <c r="J139" s="202">
        <v>-87328</v>
      </c>
      <c r="K139" s="288"/>
      <c r="L139" s="298"/>
      <c r="N139" s="260"/>
    </row>
    <row r="140" spans="1:14" x14ac:dyDescent="0.3">
      <c r="A140" s="38" t="s">
        <v>166</v>
      </c>
      <c r="B140" s="39" t="s">
        <v>167</v>
      </c>
      <c r="C140" s="40">
        <f t="shared" ref="C140:J140" si="41">SUM(C141+C146+C155)</f>
        <v>-59462</v>
      </c>
      <c r="D140" s="40">
        <f t="shared" si="41"/>
        <v>-63518</v>
      </c>
      <c r="E140" s="40">
        <f t="shared" si="41"/>
        <v>-59766</v>
      </c>
      <c r="F140" s="40">
        <f t="shared" si="41"/>
        <v>-116110</v>
      </c>
      <c r="G140" s="40">
        <f t="shared" si="41"/>
        <v>-139959</v>
      </c>
      <c r="H140" s="40">
        <f t="shared" si="41"/>
        <v>-160533</v>
      </c>
      <c r="I140" s="40">
        <f>SUM(I141+I146+I155)</f>
        <v>-163944.47000000003</v>
      </c>
      <c r="J140" s="40">
        <f t="shared" si="41"/>
        <v>-163388.68</v>
      </c>
      <c r="K140" s="288"/>
      <c r="L140" s="292"/>
    </row>
    <row r="141" spans="1:14" x14ac:dyDescent="0.3">
      <c r="A141" s="39" t="s">
        <v>168</v>
      </c>
      <c r="B141" s="39" t="s">
        <v>169</v>
      </c>
      <c r="C141" s="40">
        <f t="shared" ref="C141:F141" si="42">SUM(C142:C145)</f>
        <v>-8445</v>
      </c>
      <c r="D141" s="40">
        <f t="shared" si="42"/>
        <v>-40324</v>
      </c>
      <c r="E141" s="40">
        <f t="shared" si="42"/>
        <v>-13646</v>
      </c>
      <c r="F141" s="40">
        <f t="shared" si="42"/>
        <v>-47819</v>
      </c>
      <c r="G141" s="40">
        <f t="shared" ref="G141" si="43">SUM(G142:G145)</f>
        <v>-52944</v>
      </c>
      <c r="H141" s="40">
        <f t="shared" ref="H141:J141" si="44">SUM(H142:H145)</f>
        <v>-75000</v>
      </c>
      <c r="I141" s="40">
        <f>SUM(I142:I145)</f>
        <v>-74337.36</v>
      </c>
      <c r="J141" s="40">
        <f t="shared" si="44"/>
        <v>-72000</v>
      </c>
      <c r="K141" s="288"/>
      <c r="L141" s="292"/>
      <c r="M141" s="231"/>
    </row>
    <row r="142" spans="1:14" s="144" customFormat="1" x14ac:dyDescent="0.3">
      <c r="A142" s="10">
        <v>5502</v>
      </c>
      <c r="B142" s="10" t="s">
        <v>110</v>
      </c>
      <c r="C142" s="99">
        <v>0</v>
      </c>
      <c r="D142" s="31">
        <v>-91</v>
      </c>
      <c r="E142" s="48">
        <v>0</v>
      </c>
      <c r="F142" s="31">
        <v>-2400</v>
      </c>
      <c r="G142" s="151">
        <v>0</v>
      </c>
      <c r="H142" s="151">
        <v>-5000</v>
      </c>
      <c r="I142" s="151"/>
      <c r="J142" s="203">
        <v>0</v>
      </c>
      <c r="K142" s="296"/>
      <c r="L142" s="299"/>
      <c r="N142" s="251"/>
    </row>
    <row r="143" spans="1:14" s="144" customFormat="1" x14ac:dyDescent="0.3">
      <c r="A143" s="10">
        <v>5511</v>
      </c>
      <c r="B143" s="10" t="s">
        <v>125</v>
      </c>
      <c r="C143" s="99">
        <v>-8445</v>
      </c>
      <c r="D143" s="31">
        <v>-39194</v>
      </c>
      <c r="E143" s="48">
        <v>-13646</v>
      </c>
      <c r="F143" s="31">
        <v>-44704</v>
      </c>
      <c r="G143" s="151">
        <v>-52136</v>
      </c>
      <c r="H143" s="151">
        <v>-55000</v>
      </c>
      <c r="I143" s="151">
        <v>-72848.399999999994</v>
      </c>
      <c r="J143" s="203">
        <v>-72000</v>
      </c>
      <c r="K143" s="296"/>
      <c r="L143" s="328"/>
      <c r="N143" s="251"/>
    </row>
    <row r="144" spans="1:14" s="144" customFormat="1" x14ac:dyDescent="0.3">
      <c r="A144" s="10">
        <v>5514</v>
      </c>
      <c r="B144" s="10" t="s">
        <v>113</v>
      </c>
      <c r="C144" s="99">
        <v>0</v>
      </c>
      <c r="D144" s="31">
        <v>-271</v>
      </c>
      <c r="E144" s="48">
        <v>0</v>
      </c>
      <c r="F144" s="31">
        <v>-715</v>
      </c>
      <c r="G144" s="151">
        <v>-808</v>
      </c>
      <c r="H144" s="151">
        <v>0</v>
      </c>
      <c r="I144" s="151">
        <v>-1488.96</v>
      </c>
      <c r="J144" s="203">
        <v>0</v>
      </c>
      <c r="K144" s="296"/>
      <c r="L144" s="299"/>
      <c r="N144" s="251"/>
    </row>
    <row r="145" spans="1:16" s="144" customFormat="1" x14ac:dyDescent="0.3">
      <c r="A145" s="10">
        <v>5515</v>
      </c>
      <c r="B145" s="10" t="s">
        <v>126</v>
      </c>
      <c r="C145" s="99">
        <v>0</v>
      </c>
      <c r="D145" s="31">
        <v>-768</v>
      </c>
      <c r="E145" s="48">
        <v>0</v>
      </c>
      <c r="F145" s="31">
        <v>0</v>
      </c>
      <c r="G145" s="151">
        <v>0</v>
      </c>
      <c r="H145" s="151">
        <v>-15000</v>
      </c>
      <c r="I145" s="151"/>
      <c r="J145" s="203">
        <v>0</v>
      </c>
      <c r="L145" s="305"/>
      <c r="N145" s="251"/>
    </row>
    <row r="146" spans="1:16" x14ac:dyDescent="0.3">
      <c r="A146" s="39" t="s">
        <v>170</v>
      </c>
      <c r="B146" s="39" t="s">
        <v>171</v>
      </c>
      <c r="C146" s="40">
        <f t="shared" ref="C146:F146" si="45">SUM(C147:C154)</f>
        <v>0</v>
      </c>
      <c r="D146" s="40">
        <f>SUM(D147:D154)</f>
        <v>-23194</v>
      </c>
      <c r="E146" s="40">
        <f t="shared" si="45"/>
        <v>0</v>
      </c>
      <c r="F146" s="40">
        <f t="shared" si="45"/>
        <v>-68291</v>
      </c>
      <c r="G146" s="40">
        <f t="shared" ref="G146" si="46">SUM(G147:G154)</f>
        <v>-87015</v>
      </c>
      <c r="H146" s="40">
        <f t="shared" ref="H146:J146" si="47">SUM(H147:H154)</f>
        <v>-66787</v>
      </c>
      <c r="I146" s="40">
        <f>SUM(I147:I154)</f>
        <v>-80878.100000000006</v>
      </c>
      <c r="J146" s="40">
        <f t="shared" si="47"/>
        <v>-77642.679999999993</v>
      </c>
      <c r="L146" s="307"/>
      <c r="M146" s="231"/>
    </row>
    <row r="147" spans="1:16" s="144" customFormat="1" x14ac:dyDescent="0.3">
      <c r="A147" s="10">
        <v>5002</v>
      </c>
      <c r="B147" s="10" t="s">
        <v>172</v>
      </c>
      <c r="C147" s="99">
        <v>0</v>
      </c>
      <c r="D147" s="31">
        <v>-5498</v>
      </c>
      <c r="E147" s="48">
        <v>0</v>
      </c>
      <c r="F147" s="31">
        <v>-18808</v>
      </c>
      <c r="G147" s="145">
        <v>-34489</v>
      </c>
      <c r="H147" s="145">
        <v>-30620</v>
      </c>
      <c r="I147" s="31">
        <f>-35664.41-I156</f>
        <v>-32931.410000000003</v>
      </c>
      <c r="J147" s="203">
        <v>-31860</v>
      </c>
      <c r="L147" s="308"/>
      <c r="N147" s="251"/>
    </row>
    <row r="148" spans="1:16" s="144" customFormat="1" x14ac:dyDescent="0.3">
      <c r="A148" s="10">
        <v>5005</v>
      </c>
      <c r="B148" s="10" t="s">
        <v>123</v>
      </c>
      <c r="C148" s="99">
        <v>0</v>
      </c>
      <c r="D148" s="123">
        <v>0</v>
      </c>
      <c r="E148" s="48">
        <v>0</v>
      </c>
      <c r="F148" s="31">
        <v>-925</v>
      </c>
      <c r="G148" s="145">
        <v>-2983</v>
      </c>
      <c r="H148" s="145">
        <v>-3600</v>
      </c>
      <c r="I148" s="31">
        <v>-2880</v>
      </c>
      <c r="J148" s="203">
        <v>-3000</v>
      </c>
      <c r="L148" s="305"/>
      <c r="N148" s="251"/>
    </row>
    <row r="149" spans="1:16" s="144" customFormat="1" x14ac:dyDescent="0.3">
      <c r="A149" s="10">
        <v>506</v>
      </c>
      <c r="B149" s="10" t="s">
        <v>108</v>
      </c>
      <c r="C149" s="99">
        <v>0</v>
      </c>
      <c r="D149" s="31">
        <v>-2020</v>
      </c>
      <c r="E149" s="48">
        <v>0</v>
      </c>
      <c r="F149" s="31">
        <v>-6726</v>
      </c>
      <c r="G149" s="145">
        <v>-13816</v>
      </c>
      <c r="H149" s="145">
        <v>-11567</v>
      </c>
      <c r="I149" s="31">
        <f>-12986.21-I158</f>
        <v>-12062.21</v>
      </c>
      <c r="J149" s="203">
        <f>(J147+J148)*0.338</f>
        <v>-11782.68</v>
      </c>
      <c r="K149" s="296"/>
      <c r="L149" s="328"/>
      <c r="N149" s="251"/>
    </row>
    <row r="150" spans="1:16" s="144" customFormat="1" x14ac:dyDescent="0.3">
      <c r="A150" s="10">
        <v>5512</v>
      </c>
      <c r="B150" s="10" t="s">
        <v>149</v>
      </c>
      <c r="C150" s="99">
        <v>0</v>
      </c>
      <c r="D150" s="31">
        <v>-15420</v>
      </c>
      <c r="E150" s="48">
        <v>0</v>
      </c>
      <c r="F150" s="31">
        <v>-41715</v>
      </c>
      <c r="G150" s="145">
        <v>-35411</v>
      </c>
      <c r="H150" s="145">
        <v>-20000</v>
      </c>
      <c r="I150" s="31">
        <v>-32191.31</v>
      </c>
      <c r="J150" s="203">
        <v>-30000</v>
      </c>
      <c r="K150" s="296"/>
      <c r="L150" s="299"/>
      <c r="N150" s="251"/>
    </row>
    <row r="151" spans="1:16" s="144" customFormat="1" x14ac:dyDescent="0.3">
      <c r="A151" s="10">
        <v>5513</v>
      </c>
      <c r="B151" s="10" t="s">
        <v>112</v>
      </c>
      <c r="C151" s="99">
        <v>0</v>
      </c>
      <c r="D151" s="31">
        <v>-158</v>
      </c>
      <c r="E151" s="48">
        <v>0</v>
      </c>
      <c r="F151" s="31">
        <v>0</v>
      </c>
      <c r="G151" s="145">
        <v>0</v>
      </c>
      <c r="H151" s="145">
        <v>0</v>
      </c>
      <c r="I151" s="31">
        <v>-311.29000000000002</v>
      </c>
      <c r="J151" s="203">
        <v>0</v>
      </c>
      <c r="K151" s="296"/>
      <c r="L151" s="299"/>
      <c r="N151" s="251"/>
    </row>
    <row r="152" spans="1:16" s="144" customFormat="1" x14ac:dyDescent="0.3">
      <c r="A152" s="10">
        <v>5522</v>
      </c>
      <c r="B152" s="10" t="s">
        <v>173</v>
      </c>
      <c r="C152" s="99">
        <v>0</v>
      </c>
      <c r="D152" s="31">
        <v>0</v>
      </c>
      <c r="E152" s="48">
        <v>0</v>
      </c>
      <c r="F152" s="31">
        <v>0</v>
      </c>
      <c r="G152" s="145">
        <v>0</v>
      </c>
      <c r="H152" s="145">
        <v>-200</v>
      </c>
      <c r="I152" s="145"/>
      <c r="J152" s="203">
        <v>-200</v>
      </c>
      <c r="K152" s="296"/>
      <c r="L152" s="299"/>
      <c r="N152" s="251"/>
    </row>
    <row r="153" spans="1:16" s="144" customFormat="1" x14ac:dyDescent="0.3">
      <c r="A153" s="10">
        <v>5532</v>
      </c>
      <c r="B153" s="10" t="s">
        <v>150</v>
      </c>
      <c r="C153" s="99">
        <v>0</v>
      </c>
      <c r="D153" s="31">
        <v>0</v>
      </c>
      <c r="E153" s="48">
        <v>0</v>
      </c>
      <c r="F153" s="31">
        <v>-16</v>
      </c>
      <c r="G153" s="145">
        <v>-316</v>
      </c>
      <c r="H153" s="145">
        <v>-800</v>
      </c>
      <c r="I153" s="145">
        <v>-501.88</v>
      </c>
      <c r="J153" s="203">
        <v>-800</v>
      </c>
      <c r="K153" s="296"/>
      <c r="L153" s="328"/>
      <c r="N153" s="251"/>
    </row>
    <row r="154" spans="1:16" s="144" customFormat="1" x14ac:dyDescent="0.3">
      <c r="A154" s="10">
        <v>5540</v>
      </c>
      <c r="B154" s="10" t="s">
        <v>129</v>
      </c>
      <c r="C154" s="99">
        <v>0</v>
      </c>
      <c r="D154" s="31">
        <v>-98</v>
      </c>
      <c r="E154" s="48">
        <v>0</v>
      </c>
      <c r="F154" s="31">
        <v>-101</v>
      </c>
      <c r="G154" s="145">
        <v>0</v>
      </c>
      <c r="H154" s="145">
        <v>0</v>
      </c>
      <c r="I154" s="145"/>
      <c r="J154" s="203">
        <v>0</v>
      </c>
      <c r="K154" s="296"/>
      <c r="L154" s="299"/>
      <c r="N154" s="251"/>
    </row>
    <row r="155" spans="1:16" s="120" customFormat="1" ht="13" x14ac:dyDescent="0.3">
      <c r="A155" s="38" t="s">
        <v>174</v>
      </c>
      <c r="B155" s="39" t="s">
        <v>175</v>
      </c>
      <c r="C155" s="105">
        <f t="shared" ref="C155:F155" si="48">SUM(C156:C159)</f>
        <v>-51017</v>
      </c>
      <c r="D155" s="105">
        <f t="shared" si="48"/>
        <v>0</v>
      </c>
      <c r="E155" s="105">
        <f t="shared" si="48"/>
        <v>-46120</v>
      </c>
      <c r="F155" s="105">
        <f t="shared" si="48"/>
        <v>0</v>
      </c>
      <c r="G155" s="105">
        <f t="shared" ref="G155" si="49">SUM(G156:G159)</f>
        <v>0</v>
      </c>
      <c r="H155" s="105">
        <f>SUM(H156:H159)</f>
        <v>-18746</v>
      </c>
      <c r="I155" s="105">
        <f>SUM(I156:I159)</f>
        <v>-8729.01</v>
      </c>
      <c r="J155" s="105">
        <f t="shared" ref="J155" si="50">SUM(J156:J159)</f>
        <v>-13746</v>
      </c>
      <c r="K155" s="219"/>
      <c r="L155" s="122"/>
      <c r="M155" s="240"/>
      <c r="N155" s="250"/>
    </row>
    <row r="156" spans="1:16" x14ac:dyDescent="0.3">
      <c r="A156" s="10">
        <v>5002</v>
      </c>
      <c r="B156" s="10" t="s">
        <v>121</v>
      </c>
      <c r="C156" s="99">
        <v>-11966</v>
      </c>
      <c r="D156" s="99">
        <v>0</v>
      </c>
      <c r="E156" s="48">
        <v>-11742</v>
      </c>
      <c r="F156" s="31">
        <v>0</v>
      </c>
      <c r="G156" s="31">
        <v>0</v>
      </c>
      <c r="H156" s="31">
        <v>-2800</v>
      </c>
      <c r="I156" s="31">
        <v>-2733</v>
      </c>
      <c r="J156" s="202">
        <v>-2800</v>
      </c>
    </row>
    <row r="157" spans="1:16" x14ac:dyDescent="0.3">
      <c r="A157" s="10">
        <v>5005</v>
      </c>
      <c r="B157" s="10" t="s">
        <v>123</v>
      </c>
      <c r="C157" s="99">
        <v>-2361</v>
      </c>
      <c r="D157" s="99">
        <v>0</v>
      </c>
      <c r="E157" s="48">
        <v>-2780</v>
      </c>
      <c r="F157" s="31">
        <v>0</v>
      </c>
      <c r="G157" s="31">
        <v>0</v>
      </c>
      <c r="H157" s="31">
        <v>0</v>
      </c>
      <c r="I157" s="31"/>
      <c r="J157" s="202">
        <v>0</v>
      </c>
    </row>
    <row r="158" spans="1:16" x14ac:dyDescent="0.3">
      <c r="A158" s="10">
        <v>506</v>
      </c>
      <c r="B158" s="10" t="s">
        <v>108</v>
      </c>
      <c r="C158" s="99">
        <v>-4759</v>
      </c>
      <c r="D158" s="99">
        <v>0</v>
      </c>
      <c r="E158" s="48">
        <v>-4495</v>
      </c>
      <c r="F158" s="31">
        <v>0</v>
      </c>
      <c r="G158" s="31">
        <v>0</v>
      </c>
      <c r="H158" s="31">
        <v>-946</v>
      </c>
      <c r="I158" s="31">
        <v>-924</v>
      </c>
      <c r="J158" s="202">
        <v>-946</v>
      </c>
      <c r="K158" s="288"/>
      <c r="L158" s="298"/>
    </row>
    <row r="159" spans="1:16" x14ac:dyDescent="0.3">
      <c r="A159" s="10">
        <v>5512</v>
      </c>
      <c r="B159" s="10" t="s">
        <v>149</v>
      </c>
      <c r="C159" s="99">
        <v>-31931</v>
      </c>
      <c r="D159" s="99">
        <v>0</v>
      </c>
      <c r="E159" s="48">
        <v>-27103</v>
      </c>
      <c r="F159" s="31">
        <v>0</v>
      </c>
      <c r="G159" s="31">
        <v>0</v>
      </c>
      <c r="H159" s="48">
        <v>-15000</v>
      </c>
      <c r="I159" s="31">
        <v>-5072.01</v>
      </c>
      <c r="J159" s="202">
        <v>-10000</v>
      </c>
      <c r="K159" s="317"/>
      <c r="L159" s="314"/>
      <c r="M159" s="260"/>
      <c r="N159" s="260"/>
      <c r="O159" s="293"/>
      <c r="P159" s="139"/>
    </row>
    <row r="160" spans="1:16" x14ac:dyDescent="0.3">
      <c r="A160" s="41" t="s">
        <v>176</v>
      </c>
      <c r="B160" s="42" t="s">
        <v>177</v>
      </c>
      <c r="C160" s="43">
        <f t="shared" ref="C160:F160" si="51">SUM(C161+C164+C169+C171+C183+C191)</f>
        <v>-90126</v>
      </c>
      <c r="D160" s="43">
        <f t="shared" si="51"/>
        <v>-199921</v>
      </c>
      <c r="E160" s="43">
        <f t="shared" si="51"/>
        <v>-95957</v>
      </c>
      <c r="F160" s="43">
        <f t="shared" si="51"/>
        <v>-240418</v>
      </c>
      <c r="G160" s="43">
        <f>SUM(G161+G164+G169+G171+G183+G191)</f>
        <v>-280720</v>
      </c>
      <c r="H160" s="43">
        <f>SUM(H161+H164+H169+H171+H183+H191)</f>
        <v>-256449</v>
      </c>
      <c r="I160" s="43">
        <f>SUM(I161+I164+I169+I171+I183+I191)</f>
        <v>-283434.20999999996</v>
      </c>
      <c r="J160" s="43">
        <f>SUM(J161+J164+J169+J171+J183+J191)</f>
        <v>-298108</v>
      </c>
      <c r="K160" s="288"/>
      <c r="L160" s="292"/>
    </row>
    <row r="161" spans="1:14" hidden="1" x14ac:dyDescent="0.3">
      <c r="A161" s="42" t="s">
        <v>178</v>
      </c>
      <c r="B161" s="42" t="s">
        <v>179</v>
      </c>
      <c r="C161" s="43">
        <f t="shared" ref="C161:F161" si="52">SUM(C162:C163)</f>
        <v>0</v>
      </c>
      <c r="D161" s="43">
        <f t="shared" si="52"/>
        <v>-18859</v>
      </c>
      <c r="E161" s="43">
        <f t="shared" si="52"/>
        <v>0</v>
      </c>
      <c r="F161" s="43">
        <f t="shared" si="52"/>
        <v>-17366</v>
      </c>
      <c r="G161" s="43">
        <f t="shared" ref="G161" si="53">SUM(G162:G163)</f>
        <v>0</v>
      </c>
      <c r="H161" s="43">
        <f t="shared" ref="H161" si="54">SUM(H162:H163)</f>
        <v>0</v>
      </c>
      <c r="I161" s="43"/>
      <c r="J161" s="202"/>
      <c r="K161" s="288"/>
      <c r="L161" s="292"/>
    </row>
    <row r="162" spans="1:14" s="144" customFormat="1" hidden="1" x14ac:dyDescent="0.3">
      <c r="A162" s="10">
        <v>5511</v>
      </c>
      <c r="B162" s="10" t="s">
        <v>125</v>
      </c>
      <c r="C162" s="99">
        <v>0</v>
      </c>
      <c r="D162" s="31">
        <v>-18386</v>
      </c>
      <c r="E162" s="48">
        <v>0</v>
      </c>
      <c r="F162" s="31">
        <v>-11705</v>
      </c>
      <c r="G162" s="145">
        <v>0</v>
      </c>
      <c r="H162" s="145">
        <v>0</v>
      </c>
      <c r="I162" s="145"/>
      <c r="J162" s="203"/>
      <c r="K162" s="296"/>
      <c r="L162" s="299"/>
      <c r="N162" s="251"/>
    </row>
    <row r="163" spans="1:14" s="144" customFormat="1" hidden="1" x14ac:dyDescent="0.3">
      <c r="A163" s="10">
        <v>5540</v>
      </c>
      <c r="B163" s="10" t="s">
        <v>129</v>
      </c>
      <c r="C163" s="99">
        <v>0</v>
      </c>
      <c r="D163" s="31">
        <v>-473</v>
      </c>
      <c r="E163" s="48">
        <v>0</v>
      </c>
      <c r="F163" s="31">
        <v>-5661</v>
      </c>
      <c r="G163" s="145">
        <v>0</v>
      </c>
      <c r="H163" s="145">
        <v>0</v>
      </c>
      <c r="I163" s="145"/>
      <c r="J163" s="203"/>
      <c r="K163" s="296"/>
      <c r="L163" s="299"/>
      <c r="N163" s="251"/>
    </row>
    <row r="164" spans="1:14" hidden="1" x14ac:dyDescent="0.3">
      <c r="A164" s="42" t="s">
        <v>180</v>
      </c>
      <c r="B164" s="42" t="s">
        <v>181</v>
      </c>
      <c r="C164" s="43">
        <f t="shared" ref="C164:F164" si="55">SUM(C165:C168)</f>
        <v>-3006</v>
      </c>
      <c r="D164" s="43">
        <f t="shared" si="55"/>
        <v>-20299</v>
      </c>
      <c r="E164" s="43">
        <f t="shared" si="55"/>
        <v>-7018</v>
      </c>
      <c r="F164" s="43">
        <f t="shared" si="55"/>
        <v>-61036</v>
      </c>
      <c r="G164" s="43">
        <f>SUM(G165:G168)</f>
        <v>0</v>
      </c>
      <c r="H164" s="43">
        <f>SUM(H165:H168)</f>
        <v>0</v>
      </c>
      <c r="I164" s="43"/>
      <c r="J164" s="202"/>
      <c r="K164" s="288"/>
      <c r="L164" s="292"/>
    </row>
    <row r="165" spans="1:14" s="144" customFormat="1" hidden="1" x14ac:dyDescent="0.3">
      <c r="A165" s="10">
        <v>4500</v>
      </c>
      <c r="B165" s="10" t="s">
        <v>116</v>
      </c>
      <c r="C165" s="99">
        <v>0</v>
      </c>
      <c r="D165" s="31">
        <v>-8000</v>
      </c>
      <c r="E165" s="48">
        <v>-6400</v>
      </c>
      <c r="F165" s="31">
        <v>-49674</v>
      </c>
      <c r="G165" s="145">
        <v>0</v>
      </c>
      <c r="H165" s="145">
        <v>0</v>
      </c>
      <c r="I165" s="145"/>
      <c r="J165" s="203"/>
      <c r="K165" s="296"/>
      <c r="L165" s="299"/>
      <c r="N165" s="251"/>
    </row>
    <row r="166" spans="1:14" s="144" customFormat="1" hidden="1" x14ac:dyDescent="0.3">
      <c r="A166" s="10">
        <v>5502</v>
      </c>
      <c r="B166" s="10" t="s">
        <v>110</v>
      </c>
      <c r="C166" s="99">
        <v>-2280</v>
      </c>
      <c r="D166" s="31">
        <v>0</v>
      </c>
      <c r="E166" s="48">
        <v>0</v>
      </c>
      <c r="F166" s="31">
        <v>0</v>
      </c>
      <c r="G166" s="145">
        <v>0</v>
      </c>
      <c r="H166" s="145">
        <v>0</v>
      </c>
      <c r="I166" s="145"/>
      <c r="J166" s="203"/>
      <c r="K166" s="296"/>
      <c r="L166" s="299"/>
      <c r="N166" s="251"/>
    </row>
    <row r="167" spans="1:14" s="144" customFormat="1" hidden="1" x14ac:dyDescent="0.3">
      <c r="A167" s="10">
        <v>5512</v>
      </c>
      <c r="B167" s="10" t="s">
        <v>149</v>
      </c>
      <c r="C167" s="99">
        <v>-726</v>
      </c>
      <c r="D167" s="31">
        <v>-12247</v>
      </c>
      <c r="E167" s="48">
        <v>-618</v>
      </c>
      <c r="F167" s="31">
        <v>-11362</v>
      </c>
      <c r="G167" s="145">
        <v>0</v>
      </c>
      <c r="H167" s="145">
        <v>0</v>
      </c>
      <c r="I167" s="145"/>
      <c r="J167" s="203"/>
      <c r="K167" s="296"/>
      <c r="L167" s="299"/>
      <c r="N167" s="251"/>
    </row>
    <row r="168" spans="1:14" s="144" customFormat="1" hidden="1" x14ac:dyDescent="0.3">
      <c r="A168" s="10">
        <v>5540</v>
      </c>
      <c r="B168" s="10" t="s">
        <v>129</v>
      </c>
      <c r="C168" s="99">
        <v>0</v>
      </c>
      <c r="D168" s="31">
        <v>-52</v>
      </c>
      <c r="E168" s="48">
        <v>0</v>
      </c>
      <c r="F168" s="31">
        <v>0</v>
      </c>
      <c r="G168" s="145">
        <v>0</v>
      </c>
      <c r="H168" s="145">
        <v>0</v>
      </c>
      <c r="I168" s="145"/>
      <c r="J168" s="203"/>
      <c r="K168" s="296"/>
      <c r="L168" s="299"/>
      <c r="N168" s="251"/>
    </row>
    <row r="169" spans="1:14" x14ac:dyDescent="0.3">
      <c r="A169" s="42" t="s">
        <v>182</v>
      </c>
      <c r="B169" s="42" t="s">
        <v>183</v>
      </c>
      <c r="C169" s="43">
        <f t="shared" ref="C169:F169" si="56">C170</f>
        <v>-35429</v>
      </c>
      <c r="D169" s="43">
        <f t="shared" si="56"/>
        <v>-24116</v>
      </c>
      <c r="E169" s="43">
        <f t="shared" si="56"/>
        <v>-25493</v>
      </c>
      <c r="F169" s="43">
        <f t="shared" si="56"/>
        <v>-29464</v>
      </c>
      <c r="G169" s="43">
        <f t="shared" ref="G169:J169" si="57">G170</f>
        <v>-47592</v>
      </c>
      <c r="H169" s="43">
        <f t="shared" si="57"/>
        <v>-40000</v>
      </c>
      <c r="I169" s="43">
        <f>I170</f>
        <v>-40286.410000000003</v>
      </c>
      <c r="J169" s="43">
        <f t="shared" si="57"/>
        <v>-40000</v>
      </c>
      <c r="K169" s="288"/>
      <c r="L169" s="292"/>
    </row>
    <row r="170" spans="1:14" s="144" customFormat="1" x14ac:dyDescent="0.3">
      <c r="A170" s="10">
        <v>5512</v>
      </c>
      <c r="B170" s="10" t="s">
        <v>149</v>
      </c>
      <c r="C170" s="99">
        <v>-35429</v>
      </c>
      <c r="D170" s="31">
        <v>-24116</v>
      </c>
      <c r="E170" s="48">
        <v>-25493</v>
      </c>
      <c r="F170" s="31">
        <v>-29464</v>
      </c>
      <c r="G170" s="151">
        <v>-47592</v>
      </c>
      <c r="H170" s="151">
        <v>-40000</v>
      </c>
      <c r="I170" s="151">
        <v>-40286.410000000003</v>
      </c>
      <c r="J170" s="203">
        <v>-40000</v>
      </c>
      <c r="K170" s="321"/>
      <c r="L170" s="320"/>
      <c r="M170" s="222"/>
      <c r="N170" s="251"/>
    </row>
    <row r="171" spans="1:14" x14ac:dyDescent="0.3">
      <c r="A171" s="42" t="s">
        <v>184</v>
      </c>
      <c r="B171" s="42" t="s">
        <v>185</v>
      </c>
      <c r="C171" s="43">
        <f t="shared" ref="C171:F171" si="58">SUM(C172:C182)</f>
        <v>-39189</v>
      </c>
      <c r="D171" s="43">
        <f t="shared" si="58"/>
        <v>-102364</v>
      </c>
      <c r="E171" s="43">
        <f t="shared" si="58"/>
        <v>-47310</v>
      </c>
      <c r="F171" s="43">
        <f t="shared" si="58"/>
        <v>-95296</v>
      </c>
      <c r="G171" s="43">
        <f t="shared" ref="G171" si="59">SUM(G172:G182)</f>
        <v>-189965</v>
      </c>
      <c r="H171" s="43">
        <f t="shared" ref="H171:J171" si="60">SUM(H172:H182)</f>
        <v>-170908</v>
      </c>
      <c r="I171" s="43">
        <f>SUM(I172:I182)</f>
        <v>-196663.02</v>
      </c>
      <c r="J171" s="43">
        <f t="shared" si="60"/>
        <v>-203405</v>
      </c>
      <c r="K171" s="331"/>
      <c r="L171" s="332"/>
      <c r="M171" s="231"/>
    </row>
    <row r="172" spans="1:14" s="144" customFormat="1" x14ac:dyDescent="0.3">
      <c r="A172" s="10">
        <v>5002</v>
      </c>
      <c r="B172" s="10" t="s">
        <v>172</v>
      </c>
      <c r="C172" s="99">
        <v>-6294</v>
      </c>
      <c r="D172" s="31">
        <v>-44041</v>
      </c>
      <c r="E172" s="48">
        <v>-7080</v>
      </c>
      <c r="F172" s="31">
        <v>-36250</v>
      </c>
      <c r="G172" s="145">
        <v>-29094</v>
      </c>
      <c r="H172" s="145">
        <v>-39360</v>
      </c>
      <c r="I172" s="145">
        <v>-32767.15</v>
      </c>
      <c r="J172" s="203">
        <v>-49200</v>
      </c>
      <c r="K172" s="333"/>
      <c r="L172" s="334"/>
      <c r="N172" s="251"/>
    </row>
    <row r="173" spans="1:14" s="144" customFormat="1" x14ac:dyDescent="0.3">
      <c r="A173" s="10">
        <v>5005</v>
      </c>
      <c r="B173" s="10" t="s">
        <v>123</v>
      </c>
      <c r="C173" s="99">
        <v>0</v>
      </c>
      <c r="D173" s="31">
        <v>-1328</v>
      </c>
      <c r="E173" s="48">
        <v>0</v>
      </c>
      <c r="F173" s="31">
        <v>-2851</v>
      </c>
      <c r="G173" s="145">
        <v>-212</v>
      </c>
      <c r="H173" s="145">
        <v>-3000</v>
      </c>
      <c r="I173" s="145">
        <v>-1820</v>
      </c>
      <c r="J173" s="203">
        <v>-2000</v>
      </c>
      <c r="K173" s="333"/>
      <c r="L173" s="334"/>
      <c r="N173" s="251"/>
    </row>
    <row r="174" spans="1:14" s="144" customFormat="1" x14ac:dyDescent="0.3">
      <c r="A174" s="10">
        <v>506</v>
      </c>
      <c r="B174" s="10" t="s">
        <v>108</v>
      </c>
      <c r="C174" s="99">
        <v>-2148</v>
      </c>
      <c r="D174" s="31">
        <v>-15951</v>
      </c>
      <c r="E174" s="48">
        <v>-2211</v>
      </c>
      <c r="F174" s="31">
        <v>-12946</v>
      </c>
      <c r="G174" s="145">
        <v>-10105</v>
      </c>
      <c r="H174" s="145">
        <v>-14318</v>
      </c>
      <c r="I174" s="145">
        <v>-11573.58</v>
      </c>
      <c r="J174" s="203">
        <v>-17305</v>
      </c>
      <c r="K174" s="333"/>
      <c r="L174" s="335"/>
      <c r="N174" s="251"/>
    </row>
    <row r="175" spans="1:14" s="144" customFormat="1" x14ac:dyDescent="0.3">
      <c r="A175" s="10">
        <v>5500</v>
      </c>
      <c r="B175" s="10" t="s">
        <v>109</v>
      </c>
      <c r="C175" s="99">
        <v>-42</v>
      </c>
      <c r="D175" s="31">
        <v>-94</v>
      </c>
      <c r="E175" s="48">
        <v>-35</v>
      </c>
      <c r="F175" s="31">
        <v>-23</v>
      </c>
      <c r="G175" s="145">
        <v>-186</v>
      </c>
      <c r="H175" s="145">
        <v>-300</v>
      </c>
      <c r="I175" s="145">
        <v>-261.60000000000002</v>
      </c>
      <c r="J175" s="203">
        <v>-300</v>
      </c>
      <c r="L175" s="305"/>
      <c r="N175" s="251"/>
    </row>
    <row r="176" spans="1:14" s="144" customFormat="1" x14ac:dyDescent="0.3">
      <c r="A176" s="10">
        <v>5511</v>
      </c>
      <c r="B176" s="10" t="s">
        <v>125</v>
      </c>
      <c r="C176" s="99">
        <v>-30705</v>
      </c>
      <c r="D176" s="31">
        <v>-5822</v>
      </c>
      <c r="E176" s="48">
        <v>-37984</v>
      </c>
      <c r="F176" s="31">
        <v>-11659</v>
      </c>
      <c r="G176" s="145">
        <v>-123086</v>
      </c>
      <c r="H176" s="145">
        <v>-80000</v>
      </c>
      <c r="I176" s="145">
        <v>-118875.66</v>
      </c>
      <c r="J176" s="203">
        <v>-100000</v>
      </c>
      <c r="L176" s="305"/>
      <c r="N176" s="251"/>
    </row>
    <row r="177" spans="1:60" s="144" customFormat="1" x14ac:dyDescent="0.3">
      <c r="A177" s="10">
        <v>5512</v>
      </c>
      <c r="B177" s="10" t="s">
        <v>149</v>
      </c>
      <c r="C177" s="99">
        <v>0</v>
      </c>
      <c r="D177" s="31">
        <v>0</v>
      </c>
      <c r="E177" s="48">
        <v>0</v>
      </c>
      <c r="F177" s="48">
        <v>0</v>
      </c>
      <c r="G177" s="145">
        <v>0</v>
      </c>
      <c r="H177" s="145">
        <v>0</v>
      </c>
      <c r="I177" s="145"/>
      <c r="J177" s="203">
        <v>0</v>
      </c>
      <c r="L177" s="305"/>
      <c r="N177" s="251"/>
    </row>
    <row r="178" spans="1:60" s="144" customFormat="1" x14ac:dyDescent="0.3">
      <c r="A178" s="10">
        <v>5513</v>
      </c>
      <c r="B178" s="10" t="s">
        <v>112</v>
      </c>
      <c r="C178" s="99">
        <v>0</v>
      </c>
      <c r="D178" s="31">
        <v>-32414</v>
      </c>
      <c r="E178" s="48">
        <v>0</v>
      </c>
      <c r="F178" s="31">
        <v>-30021</v>
      </c>
      <c r="G178" s="145">
        <v>-26686</v>
      </c>
      <c r="H178" s="145">
        <v>-33000</v>
      </c>
      <c r="I178" s="145">
        <v>-27484.959999999999</v>
      </c>
      <c r="J178" s="203">
        <v>-30000</v>
      </c>
      <c r="L178" s="305"/>
      <c r="N178" s="251"/>
    </row>
    <row r="179" spans="1:60" s="144" customFormat="1" x14ac:dyDescent="0.3">
      <c r="A179" s="10">
        <v>5515</v>
      </c>
      <c r="B179" s="10" t="s">
        <v>126</v>
      </c>
      <c r="C179" s="99">
        <v>0</v>
      </c>
      <c r="D179" s="31">
        <v>-1422</v>
      </c>
      <c r="E179" s="48">
        <v>0</v>
      </c>
      <c r="F179" s="31">
        <v>-299</v>
      </c>
      <c r="G179" s="145">
        <v>-80</v>
      </c>
      <c r="H179" s="145">
        <v>-500</v>
      </c>
      <c r="I179" s="145">
        <v>-3326.13</v>
      </c>
      <c r="J179" s="357">
        <f>-10000+6000</f>
        <v>-4000</v>
      </c>
      <c r="K179" s="311"/>
      <c r="L179" s="305"/>
      <c r="M179" s="251"/>
      <c r="N179" s="251"/>
      <c r="O179" s="305"/>
      <c r="P179" s="305"/>
    </row>
    <row r="180" spans="1:60" s="144" customFormat="1" x14ac:dyDescent="0.3">
      <c r="A180" s="10">
        <v>5522</v>
      </c>
      <c r="B180" s="10" t="s">
        <v>127</v>
      </c>
      <c r="C180" s="99">
        <v>0</v>
      </c>
      <c r="D180" s="31">
        <v>0</v>
      </c>
      <c r="E180" s="48">
        <v>0</v>
      </c>
      <c r="F180" s="31">
        <v>0</v>
      </c>
      <c r="G180" s="145">
        <v>0</v>
      </c>
      <c r="H180" s="145">
        <v>-130</v>
      </c>
      <c r="I180" s="145">
        <v>-60</v>
      </c>
      <c r="J180" s="203">
        <v>-100</v>
      </c>
      <c r="L180" s="305"/>
      <c r="N180" s="251"/>
    </row>
    <row r="181" spans="1:60" s="144" customFormat="1" x14ac:dyDescent="0.3">
      <c r="A181" s="10">
        <v>5532</v>
      </c>
      <c r="B181" s="10" t="s">
        <v>150</v>
      </c>
      <c r="C181" s="99">
        <v>0</v>
      </c>
      <c r="D181" s="31">
        <v>-1144</v>
      </c>
      <c r="E181" s="48">
        <v>0</v>
      </c>
      <c r="F181" s="31">
        <v>-352</v>
      </c>
      <c r="G181" s="145">
        <v>-275</v>
      </c>
      <c r="H181" s="145">
        <v>-300</v>
      </c>
      <c r="I181" s="145">
        <v>-493.94</v>
      </c>
      <c r="J181" s="203">
        <v>-500</v>
      </c>
      <c r="K181" s="321"/>
      <c r="L181" s="320"/>
      <c r="N181" s="251"/>
    </row>
    <row r="182" spans="1:60" s="144" customFormat="1" x14ac:dyDescent="0.3">
      <c r="A182" s="10">
        <v>5540</v>
      </c>
      <c r="B182" s="10" t="s">
        <v>129</v>
      </c>
      <c r="C182" s="99">
        <v>0</v>
      </c>
      <c r="D182" s="31">
        <v>-148</v>
      </c>
      <c r="E182" s="48">
        <v>0</v>
      </c>
      <c r="F182" s="31">
        <v>-895</v>
      </c>
      <c r="G182" s="145">
        <v>-241</v>
      </c>
      <c r="H182" s="145">
        <v>0</v>
      </c>
      <c r="I182" s="145"/>
      <c r="J182" s="203">
        <v>0</v>
      </c>
      <c r="K182" s="296"/>
      <c r="L182" s="299"/>
      <c r="N182" s="251"/>
    </row>
    <row r="183" spans="1:60" x14ac:dyDescent="0.3">
      <c r="A183" s="42" t="s">
        <v>186</v>
      </c>
      <c r="B183" s="42" t="s">
        <v>187</v>
      </c>
      <c r="C183" s="43">
        <f t="shared" ref="C183:F183" si="61">SUM(C184:C190)</f>
        <v>-10394</v>
      </c>
      <c r="D183" s="43">
        <f t="shared" si="61"/>
        <v>-29644</v>
      </c>
      <c r="E183" s="43">
        <f t="shared" si="61"/>
        <v>-13410</v>
      </c>
      <c r="F183" s="43">
        <f t="shared" si="61"/>
        <v>-36091</v>
      </c>
      <c r="G183" s="43">
        <f>SUM(G184:G190)</f>
        <v>-41508</v>
      </c>
      <c r="H183" s="43">
        <f>SUM(H184:H190)</f>
        <v>-43541</v>
      </c>
      <c r="I183" s="43">
        <f>SUM(I184:I190)</f>
        <v>-44109.279999999999</v>
      </c>
      <c r="J183" s="43">
        <f>SUM(J184:J190)</f>
        <v>-52203</v>
      </c>
      <c r="K183" s="336"/>
      <c r="L183" s="292"/>
      <c r="M183" s="231"/>
    </row>
    <row r="184" spans="1:60" s="144" customFormat="1" x14ac:dyDescent="0.3">
      <c r="A184" s="10">
        <v>4500</v>
      </c>
      <c r="B184" s="10" t="s">
        <v>161</v>
      </c>
      <c r="C184" s="99">
        <v>0</v>
      </c>
      <c r="D184" s="31">
        <v>-6905</v>
      </c>
      <c r="E184" s="48">
        <v>0</v>
      </c>
      <c r="F184" s="31">
        <v>-7547</v>
      </c>
      <c r="G184" s="145">
        <v>0</v>
      </c>
      <c r="H184" s="145">
        <v>0</v>
      </c>
      <c r="I184" s="145"/>
      <c r="J184" s="203">
        <v>0</v>
      </c>
      <c r="K184" s="296"/>
      <c r="L184" s="299"/>
      <c r="N184" s="251"/>
    </row>
    <row r="185" spans="1:60" s="144" customFormat="1" x14ac:dyDescent="0.3">
      <c r="A185" s="10">
        <v>5002</v>
      </c>
      <c r="B185" s="10" t="s">
        <v>172</v>
      </c>
      <c r="C185" s="99">
        <v>-5146</v>
      </c>
      <c r="D185" s="31">
        <v>-16596</v>
      </c>
      <c r="E185" s="48">
        <v>-6070</v>
      </c>
      <c r="F185" s="31">
        <v>-20412</v>
      </c>
      <c r="G185" s="145">
        <v>-28521</v>
      </c>
      <c r="H185" s="145">
        <v>-28440</v>
      </c>
      <c r="I185" s="145">
        <v>-30535.31</v>
      </c>
      <c r="J185" s="203">
        <v>-30430</v>
      </c>
      <c r="K185" s="296"/>
      <c r="L185" s="299"/>
      <c r="N185" s="251"/>
    </row>
    <row r="186" spans="1:60" s="144" customFormat="1" x14ac:dyDescent="0.3">
      <c r="A186" s="10">
        <v>5005</v>
      </c>
      <c r="B186" s="10" t="s">
        <v>123</v>
      </c>
      <c r="C186" s="99">
        <v>0</v>
      </c>
      <c r="D186" s="31">
        <v>-184</v>
      </c>
      <c r="E186" s="48">
        <v>0</v>
      </c>
      <c r="F186" s="31">
        <v>-516</v>
      </c>
      <c r="G186" s="145">
        <v>0</v>
      </c>
      <c r="H186" s="145">
        <v>-1000</v>
      </c>
      <c r="I186" s="145"/>
      <c r="J186" s="203">
        <v>-1000</v>
      </c>
      <c r="K186" s="296"/>
      <c r="L186" s="299"/>
      <c r="N186" s="251"/>
    </row>
    <row r="187" spans="1:60" s="144" customFormat="1" x14ac:dyDescent="0.3">
      <c r="A187" s="10">
        <v>506</v>
      </c>
      <c r="B187" s="10" t="s">
        <v>108</v>
      </c>
      <c r="C187" s="99">
        <v>-1613</v>
      </c>
      <c r="D187" s="31">
        <v>-5651</v>
      </c>
      <c r="E187" s="48">
        <v>-1866</v>
      </c>
      <c r="F187" s="31">
        <v>-7128</v>
      </c>
      <c r="G187" s="145">
        <v>-9235</v>
      </c>
      <c r="H187" s="145">
        <v>-9951</v>
      </c>
      <c r="I187" s="145">
        <v>-10320.950000000001</v>
      </c>
      <c r="J187" s="203">
        <v>-10623</v>
      </c>
      <c r="K187" s="321"/>
      <c r="L187" s="320"/>
      <c r="N187" s="251"/>
    </row>
    <row r="188" spans="1:60" s="144" customFormat="1" x14ac:dyDescent="0.3">
      <c r="A188" s="10">
        <v>5500</v>
      </c>
      <c r="B188" s="10" t="s">
        <v>109</v>
      </c>
      <c r="C188" s="99">
        <v>-17</v>
      </c>
      <c r="D188" s="31">
        <v>0</v>
      </c>
      <c r="E188" s="48">
        <v>-15</v>
      </c>
      <c r="F188" s="31">
        <v>0</v>
      </c>
      <c r="G188" s="145">
        <v>0</v>
      </c>
      <c r="H188" s="145">
        <v>0</v>
      </c>
      <c r="I188" s="145"/>
      <c r="J188" s="203">
        <v>0</v>
      </c>
      <c r="K188" s="123"/>
      <c r="L188" s="121"/>
      <c r="N188" s="251"/>
    </row>
    <row r="189" spans="1:60" s="144" customFormat="1" x14ac:dyDescent="0.3">
      <c r="A189" s="10">
        <v>5512</v>
      </c>
      <c r="B189" s="10" t="s">
        <v>149</v>
      </c>
      <c r="C189" s="99">
        <v>-3618</v>
      </c>
      <c r="D189" s="31">
        <v>-308</v>
      </c>
      <c r="E189" s="48">
        <v>-5459</v>
      </c>
      <c r="F189" s="31">
        <v>-488</v>
      </c>
      <c r="G189" s="145">
        <v>-3752</v>
      </c>
      <c r="H189" s="145">
        <v>-4000</v>
      </c>
      <c r="I189" s="145">
        <v>-3253.02</v>
      </c>
      <c r="J189" s="283">
        <v>-10000</v>
      </c>
      <c r="K189" s="168"/>
      <c r="L189" s="309"/>
      <c r="M189" s="259"/>
      <c r="N189" s="259"/>
      <c r="O189" s="311"/>
      <c r="P189" s="311"/>
      <c r="Q189" s="305"/>
    </row>
    <row r="190" spans="1:60" s="144" customFormat="1" x14ac:dyDescent="0.3">
      <c r="A190" s="10">
        <v>5522</v>
      </c>
      <c r="B190" s="10" t="s">
        <v>127</v>
      </c>
      <c r="C190" s="99">
        <v>0</v>
      </c>
      <c r="D190" s="99">
        <v>0</v>
      </c>
      <c r="E190" s="48">
        <v>0</v>
      </c>
      <c r="F190" s="31">
        <v>0</v>
      </c>
      <c r="G190" s="145">
        <v>0</v>
      </c>
      <c r="H190" s="145">
        <v>-150</v>
      </c>
      <c r="I190" s="145"/>
      <c r="J190" s="203">
        <v>-150</v>
      </c>
      <c r="K190" s="321"/>
      <c r="L190" s="320"/>
      <c r="N190" s="251"/>
    </row>
    <row r="191" spans="1:60" x14ac:dyDescent="0.3">
      <c r="A191" s="42" t="s">
        <v>188</v>
      </c>
      <c r="B191" s="42" t="s">
        <v>189</v>
      </c>
      <c r="C191" s="43">
        <f t="shared" ref="C191:F191" si="62">SUM(C192:C193)</f>
        <v>-2108</v>
      </c>
      <c r="D191" s="43">
        <f t="shared" si="62"/>
        <v>-4639</v>
      </c>
      <c r="E191" s="43">
        <f t="shared" si="62"/>
        <v>-2726</v>
      </c>
      <c r="F191" s="43">
        <f t="shared" si="62"/>
        <v>-1165</v>
      </c>
      <c r="G191" s="43">
        <f t="shared" ref="G191" si="63">SUM(G192:G193)</f>
        <v>-1655</v>
      </c>
      <c r="H191" s="43">
        <f t="shared" ref="H191:J191" si="64">SUM(H192:H193)</f>
        <v>-2000</v>
      </c>
      <c r="I191" s="43">
        <f>SUM(I192:I193)</f>
        <v>-2375.5</v>
      </c>
      <c r="J191" s="43">
        <f t="shared" si="64"/>
        <v>-2500</v>
      </c>
      <c r="K191" s="337"/>
      <c r="L191" s="318"/>
      <c r="M191" s="240"/>
      <c r="N191" s="252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</row>
    <row r="192" spans="1:60" s="121" customFormat="1" ht="15" customHeight="1" x14ac:dyDescent="0.3">
      <c r="A192" s="47">
        <v>5512</v>
      </c>
      <c r="B192" s="47" t="s">
        <v>149</v>
      </c>
      <c r="C192" s="48">
        <v>-2108</v>
      </c>
      <c r="D192" s="48">
        <v>0</v>
      </c>
      <c r="E192" s="48">
        <v>-2726</v>
      </c>
      <c r="F192" s="48">
        <v>0</v>
      </c>
      <c r="G192" s="145">
        <v>0</v>
      </c>
      <c r="H192" s="145">
        <v>0</v>
      </c>
      <c r="I192" s="145"/>
      <c r="J192" s="203">
        <v>0</v>
      </c>
      <c r="K192" s="338"/>
      <c r="L192" s="320"/>
      <c r="M192" s="142"/>
      <c r="N192" s="253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</row>
    <row r="193" spans="1:60" s="144" customFormat="1" x14ac:dyDescent="0.3">
      <c r="A193" s="10">
        <v>5540</v>
      </c>
      <c r="B193" s="10" t="s">
        <v>129</v>
      </c>
      <c r="C193" s="99">
        <v>0</v>
      </c>
      <c r="D193" s="31">
        <v>-4639</v>
      </c>
      <c r="E193" s="48">
        <v>0</v>
      </c>
      <c r="F193" s="31">
        <v>-1165</v>
      </c>
      <c r="G193" s="151">
        <v>-1655</v>
      </c>
      <c r="H193" s="151">
        <v>-2000</v>
      </c>
      <c r="I193" s="151">
        <v>-2375.5</v>
      </c>
      <c r="J193" s="203">
        <v>-2500</v>
      </c>
      <c r="K193" s="338"/>
      <c r="L193" s="320"/>
      <c r="M193" s="142"/>
      <c r="N193" s="253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</row>
    <row r="194" spans="1:60" s="120" customFormat="1" ht="15" customHeight="1" x14ac:dyDescent="0.3">
      <c r="A194" s="106" t="s">
        <v>190</v>
      </c>
      <c r="B194" s="107" t="s">
        <v>191</v>
      </c>
      <c r="C194" s="108">
        <f>C195</f>
        <v>-7395</v>
      </c>
      <c r="D194" s="108">
        <f t="shared" ref="D194:J195" si="65">D195</f>
        <v>-1314</v>
      </c>
      <c r="E194" s="140">
        <f t="shared" si="65"/>
        <v>-7207</v>
      </c>
      <c r="F194" s="140">
        <f t="shared" si="65"/>
        <v>-1278</v>
      </c>
      <c r="G194" s="150">
        <f t="shared" si="65"/>
        <v>0</v>
      </c>
      <c r="H194" s="150">
        <f t="shared" si="65"/>
        <v>0</v>
      </c>
      <c r="I194" s="150"/>
      <c r="J194" s="150">
        <f t="shared" si="65"/>
        <v>0</v>
      </c>
      <c r="K194" s="329"/>
      <c r="L194" s="330"/>
      <c r="N194" s="250"/>
    </row>
    <row r="195" spans="1:60" s="120" customFormat="1" ht="13" x14ac:dyDescent="0.3">
      <c r="A195" s="102" t="s">
        <v>192</v>
      </c>
      <c r="B195" s="73" t="s">
        <v>193</v>
      </c>
      <c r="C195" s="80">
        <f>C196</f>
        <v>-7395</v>
      </c>
      <c r="D195" s="80">
        <f t="shared" si="65"/>
        <v>-1314</v>
      </c>
      <c r="E195" s="133">
        <f t="shared" si="65"/>
        <v>-7207</v>
      </c>
      <c r="F195" s="80">
        <f t="shared" si="65"/>
        <v>-1278</v>
      </c>
      <c r="G195" s="149">
        <f t="shared" si="65"/>
        <v>0</v>
      </c>
      <c r="H195" s="149">
        <f t="shared" si="65"/>
        <v>0</v>
      </c>
      <c r="I195" s="149"/>
      <c r="J195" s="204">
        <v>0</v>
      </c>
      <c r="L195" s="122"/>
      <c r="N195" s="250"/>
    </row>
    <row r="196" spans="1:60" s="144" customFormat="1" x14ac:dyDescent="0.3">
      <c r="A196" s="10">
        <v>4500</v>
      </c>
      <c r="B196" s="10" t="s">
        <v>116</v>
      </c>
      <c r="C196" s="99">
        <v>-7395</v>
      </c>
      <c r="D196" s="99">
        <v>-1314</v>
      </c>
      <c r="E196" s="48">
        <v>-7207</v>
      </c>
      <c r="F196" s="31">
        <v>-1278</v>
      </c>
      <c r="G196" s="145">
        <v>0</v>
      </c>
      <c r="H196" s="145">
        <v>0</v>
      </c>
      <c r="I196" s="145"/>
      <c r="J196" s="203">
        <v>0</v>
      </c>
      <c r="L196" s="305"/>
      <c r="N196" s="251"/>
    </row>
    <row r="197" spans="1:60" x14ac:dyDescent="0.3">
      <c r="A197" s="44" t="s">
        <v>194</v>
      </c>
      <c r="B197" s="45" t="s">
        <v>195</v>
      </c>
      <c r="C197" s="46">
        <f t="shared" ref="C197:G197" si="66">SUM(C198+C214+C227+C239+C248+C259+C271+C282+C292+C302+C315+C317+C331+C334+C342+C347+C351+C354+C356+C358)</f>
        <v>-248390</v>
      </c>
      <c r="D197" s="46">
        <f t="shared" si="66"/>
        <v>-246798</v>
      </c>
      <c r="E197" s="46">
        <f t="shared" si="66"/>
        <v>-231934</v>
      </c>
      <c r="F197" s="46">
        <f t="shared" si="66"/>
        <v>-271355</v>
      </c>
      <c r="G197" s="46">
        <f t="shared" si="66"/>
        <v>-563053</v>
      </c>
      <c r="H197" s="46">
        <f t="shared" ref="H197:J197" si="67">SUM(H198+H214+H227+H239+H248+H259+H271+H282+H292+H302+H315+H317+H331+H334+H342+H347+H351+H354+H356+H358)</f>
        <v>-635869</v>
      </c>
      <c r="I197" s="46">
        <f>SUM(I198+I214+I227+I239+I248+I259+I271+I282+I292+I302+I315+I317+I331+I334+I342+I347+I351+I354+I356+I358)</f>
        <v>-625328.9600000002</v>
      </c>
      <c r="J197" s="46">
        <f t="shared" si="67"/>
        <v>-677076</v>
      </c>
    </row>
    <row r="198" spans="1:60" x14ac:dyDescent="0.3">
      <c r="A198" s="45" t="s">
        <v>196</v>
      </c>
      <c r="B198" s="45" t="s">
        <v>197</v>
      </c>
      <c r="C198" s="46">
        <f>SUM(C199:C213)</f>
        <v>-30388</v>
      </c>
      <c r="D198" s="46">
        <f t="shared" ref="D198:F198" si="68">SUM(D199:D213)</f>
        <v>-65948</v>
      </c>
      <c r="E198" s="46">
        <f t="shared" si="68"/>
        <v>-30285</v>
      </c>
      <c r="F198" s="46">
        <f t="shared" si="68"/>
        <v>-87382</v>
      </c>
      <c r="G198" s="46">
        <f t="shared" ref="G198" si="69">SUM(G199:G213)</f>
        <v>-119189</v>
      </c>
      <c r="H198" s="46">
        <f t="shared" ref="H198:J198" si="70">SUM(H199:H213)</f>
        <v>-146462</v>
      </c>
      <c r="I198" s="46">
        <f>SUM(I199:I213)</f>
        <v>-149829.78000000003</v>
      </c>
      <c r="J198" s="46">
        <f t="shared" si="70"/>
        <v>-154829</v>
      </c>
      <c r="K198" s="221"/>
      <c r="L198" s="297"/>
      <c r="M198" s="231"/>
      <c r="N198" s="246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</row>
    <row r="199" spans="1:60" s="121" customFormat="1" ht="15" customHeight="1" x14ac:dyDescent="0.3">
      <c r="A199" s="47">
        <v>4500</v>
      </c>
      <c r="B199" s="47" t="s">
        <v>116</v>
      </c>
      <c r="C199" s="48">
        <v>-600</v>
      </c>
      <c r="D199" s="48">
        <v>0</v>
      </c>
      <c r="E199" s="48">
        <v>0</v>
      </c>
      <c r="F199" s="48">
        <v>0</v>
      </c>
      <c r="G199" s="145">
        <v>0</v>
      </c>
      <c r="H199" s="145">
        <v>0</v>
      </c>
      <c r="I199" s="145"/>
      <c r="J199" s="203">
        <v>0</v>
      </c>
      <c r="K199" s="141"/>
      <c r="L199" s="310"/>
      <c r="M199" s="231"/>
      <c r="N199" s="254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</row>
    <row r="200" spans="1:60" s="144" customFormat="1" x14ac:dyDescent="0.3">
      <c r="A200" s="10">
        <v>5002</v>
      </c>
      <c r="B200" s="10" t="s">
        <v>172</v>
      </c>
      <c r="C200" s="99">
        <v>-12963</v>
      </c>
      <c r="D200" s="31">
        <v>-24308</v>
      </c>
      <c r="E200" s="48">
        <v>-16208</v>
      </c>
      <c r="F200" s="48">
        <v>-26687</v>
      </c>
      <c r="G200" s="145">
        <v>-44299</v>
      </c>
      <c r="H200" s="145">
        <v>-60080</v>
      </c>
      <c r="I200" s="145">
        <v>-62508.58</v>
      </c>
      <c r="J200" s="203">
        <v>-66576</v>
      </c>
      <c r="K200" s="141"/>
      <c r="L200" s="310"/>
      <c r="M200" s="231"/>
      <c r="N200" s="254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</row>
    <row r="201" spans="1:60" s="144" customFormat="1" x14ac:dyDescent="0.3">
      <c r="A201" s="10">
        <v>5005</v>
      </c>
      <c r="B201" s="10" t="s">
        <v>123</v>
      </c>
      <c r="C201" s="99">
        <v>0</v>
      </c>
      <c r="D201" s="31">
        <v>-1041</v>
      </c>
      <c r="E201" s="48">
        <v>-250</v>
      </c>
      <c r="F201" s="48">
        <v>-2138</v>
      </c>
      <c r="G201" s="145">
        <v>-2016</v>
      </c>
      <c r="H201" s="145">
        <v>-2000</v>
      </c>
      <c r="I201" s="145">
        <v>-147.6</v>
      </c>
      <c r="J201" s="203">
        <v>0</v>
      </c>
      <c r="L201" s="305"/>
      <c r="N201" s="251"/>
    </row>
    <row r="202" spans="1:60" s="144" customFormat="1" x14ac:dyDescent="0.3">
      <c r="A202" s="10">
        <v>5008</v>
      </c>
      <c r="B202" s="10" t="s">
        <v>198</v>
      </c>
      <c r="C202" s="99">
        <v>0</v>
      </c>
      <c r="D202" s="31">
        <v>0</v>
      </c>
      <c r="E202" s="48">
        <v>0</v>
      </c>
      <c r="F202" s="48">
        <v>-67</v>
      </c>
      <c r="G202" s="145">
        <v>0</v>
      </c>
      <c r="H202" s="145">
        <v>0</v>
      </c>
      <c r="I202" s="145"/>
      <c r="J202" s="203">
        <v>0</v>
      </c>
      <c r="L202" s="305"/>
      <c r="N202" s="251"/>
    </row>
    <row r="203" spans="1:60" s="144" customFormat="1" x14ac:dyDescent="0.3">
      <c r="A203" s="10">
        <v>506</v>
      </c>
      <c r="B203" s="10" t="s">
        <v>108</v>
      </c>
      <c r="C203" s="99">
        <v>-4263</v>
      </c>
      <c r="D203" s="31">
        <v>-8495</v>
      </c>
      <c r="E203" s="48">
        <v>-5151</v>
      </c>
      <c r="F203" s="48">
        <v>-9790</v>
      </c>
      <c r="G203" s="145">
        <v>-15778</v>
      </c>
      <c r="H203" s="145">
        <v>-20307</v>
      </c>
      <c r="I203" s="145">
        <v>-21140.42</v>
      </c>
      <c r="J203" s="203">
        <v>-22503</v>
      </c>
      <c r="K203" s="296"/>
      <c r="L203" s="328"/>
      <c r="N203" s="251"/>
    </row>
    <row r="204" spans="1:60" s="144" customFormat="1" x14ac:dyDescent="0.3">
      <c r="A204" s="10">
        <v>5500</v>
      </c>
      <c r="B204" s="10" t="s">
        <v>109</v>
      </c>
      <c r="C204" s="99">
        <v>-20</v>
      </c>
      <c r="D204" s="31">
        <v>-416</v>
      </c>
      <c r="E204" s="48">
        <v>-16</v>
      </c>
      <c r="F204" s="48">
        <v>-288</v>
      </c>
      <c r="G204" s="145">
        <v>-228</v>
      </c>
      <c r="H204" s="145">
        <v>-500</v>
      </c>
      <c r="I204" s="145">
        <v>-854.91</v>
      </c>
      <c r="J204" s="203">
        <v>-750</v>
      </c>
      <c r="K204" s="296"/>
      <c r="L204" s="299"/>
      <c r="N204" s="251"/>
    </row>
    <row r="205" spans="1:60" s="144" customFormat="1" x14ac:dyDescent="0.3">
      <c r="A205" s="10">
        <v>5504</v>
      </c>
      <c r="B205" s="10" t="s">
        <v>111</v>
      </c>
      <c r="C205" s="99">
        <v>0</v>
      </c>
      <c r="D205" s="99">
        <v>0</v>
      </c>
      <c r="E205" s="48">
        <v>0</v>
      </c>
      <c r="F205" s="48">
        <v>0</v>
      </c>
      <c r="G205" s="145">
        <v>-301</v>
      </c>
      <c r="H205" s="145">
        <v>-575</v>
      </c>
      <c r="I205" s="145">
        <v>-269.39999999999998</v>
      </c>
      <c r="J205" s="203">
        <v>-500</v>
      </c>
      <c r="K205" s="296"/>
      <c r="L205" s="299"/>
      <c r="N205" s="251"/>
    </row>
    <row r="206" spans="1:60" s="144" customFormat="1" x14ac:dyDescent="0.3">
      <c r="A206" s="10">
        <v>5511</v>
      </c>
      <c r="B206" s="10" t="s">
        <v>125</v>
      </c>
      <c r="C206" s="99">
        <v>-55</v>
      </c>
      <c r="D206" s="31">
        <v>-25210</v>
      </c>
      <c r="E206" s="48">
        <v>0</v>
      </c>
      <c r="F206" s="48">
        <v>-42920</v>
      </c>
      <c r="G206" s="145">
        <v>-41962</v>
      </c>
      <c r="H206" s="145">
        <v>-40000</v>
      </c>
      <c r="I206" s="145">
        <v>-48453.8</v>
      </c>
      <c r="J206" s="203">
        <v>-40000</v>
      </c>
      <c r="K206" s="296"/>
      <c r="L206" s="299"/>
      <c r="N206" s="251"/>
    </row>
    <row r="207" spans="1:60" s="144" customFormat="1" x14ac:dyDescent="0.3">
      <c r="A207" s="10">
        <v>5512</v>
      </c>
      <c r="B207" s="10" t="s">
        <v>149</v>
      </c>
      <c r="C207" s="99">
        <v>0</v>
      </c>
      <c r="D207" s="31">
        <v>0</v>
      </c>
      <c r="E207" s="48">
        <v>-40</v>
      </c>
      <c r="F207" s="48">
        <v>0</v>
      </c>
      <c r="G207" s="145">
        <v>0</v>
      </c>
      <c r="H207" s="145">
        <v>0</v>
      </c>
      <c r="I207" s="145"/>
      <c r="J207" s="203"/>
      <c r="K207" s="296"/>
      <c r="L207" s="299"/>
      <c r="N207" s="251"/>
    </row>
    <row r="208" spans="1:60" s="144" customFormat="1" x14ac:dyDescent="0.3">
      <c r="A208" s="10">
        <v>5513</v>
      </c>
      <c r="B208" s="10" t="s">
        <v>112</v>
      </c>
      <c r="C208" s="99">
        <v>-99</v>
      </c>
      <c r="D208" s="99">
        <v>0</v>
      </c>
      <c r="E208" s="48">
        <v>-367</v>
      </c>
      <c r="F208" s="48">
        <v>0</v>
      </c>
      <c r="G208" s="145">
        <v>-294</v>
      </c>
      <c r="H208" s="145">
        <v>-1000</v>
      </c>
      <c r="I208" s="145">
        <v>-2529.13</v>
      </c>
      <c r="J208" s="203">
        <v>-3000</v>
      </c>
      <c r="K208" s="296"/>
      <c r="L208" s="299"/>
      <c r="N208" s="251"/>
    </row>
    <row r="209" spans="1:14" s="144" customFormat="1" x14ac:dyDescent="0.3">
      <c r="A209" s="10">
        <v>5514</v>
      </c>
      <c r="B209" s="10" t="s">
        <v>113</v>
      </c>
      <c r="C209" s="99">
        <v>-199</v>
      </c>
      <c r="D209" s="31">
        <v>-539</v>
      </c>
      <c r="E209" s="48">
        <v>0</v>
      </c>
      <c r="F209" s="48">
        <v>-416</v>
      </c>
      <c r="G209" s="145">
        <v>-835</v>
      </c>
      <c r="H209" s="145">
        <v>-2500</v>
      </c>
      <c r="I209" s="145">
        <v>-2816.69</v>
      </c>
      <c r="J209" s="203">
        <v>-2000</v>
      </c>
      <c r="K209" s="296"/>
      <c r="L209" s="299"/>
      <c r="N209" s="251"/>
    </row>
    <row r="210" spans="1:14" s="144" customFormat="1" x14ac:dyDescent="0.3">
      <c r="A210" s="10">
        <v>5515</v>
      </c>
      <c r="B210" s="10" t="s">
        <v>126</v>
      </c>
      <c r="C210" s="99">
        <v>-7566</v>
      </c>
      <c r="D210" s="31">
        <v>-1690</v>
      </c>
      <c r="E210" s="48">
        <v>-2059</v>
      </c>
      <c r="F210" s="48">
        <v>-980</v>
      </c>
      <c r="G210" s="145">
        <v>-2873</v>
      </c>
      <c r="H210" s="145">
        <v>-5000</v>
      </c>
      <c r="I210" s="145">
        <v>-2240</v>
      </c>
      <c r="J210" s="203">
        <v>-5000</v>
      </c>
      <c r="K210" s="296"/>
      <c r="L210" s="299"/>
      <c r="N210" s="251"/>
    </row>
    <row r="211" spans="1:14" s="144" customFormat="1" x14ac:dyDescent="0.3">
      <c r="A211" s="10">
        <v>5521</v>
      </c>
      <c r="B211" s="10" t="s">
        <v>146</v>
      </c>
      <c r="C211" s="99">
        <v>0</v>
      </c>
      <c r="D211" s="31">
        <v>-4017</v>
      </c>
      <c r="E211" s="48">
        <v>0</v>
      </c>
      <c r="F211" s="48">
        <v>-4047</v>
      </c>
      <c r="G211" s="145">
        <v>-4950</v>
      </c>
      <c r="H211" s="145">
        <v>-6000</v>
      </c>
      <c r="I211" s="145">
        <v>-3972.43</v>
      </c>
      <c r="J211" s="203">
        <v>-6000</v>
      </c>
      <c r="K211" s="296"/>
      <c r="L211" s="299"/>
      <c r="N211" s="251"/>
    </row>
    <row r="212" spans="1:14" s="144" customFormat="1" x14ac:dyDescent="0.3">
      <c r="A212" s="10">
        <v>5522</v>
      </c>
      <c r="B212" s="10" t="s">
        <v>127</v>
      </c>
      <c r="C212" s="99">
        <v>-213</v>
      </c>
      <c r="D212" s="31">
        <v>-232</v>
      </c>
      <c r="E212" s="48">
        <v>-139</v>
      </c>
      <c r="F212" s="48">
        <v>-49</v>
      </c>
      <c r="G212" s="145">
        <v>-130</v>
      </c>
      <c r="H212" s="145">
        <v>-500</v>
      </c>
      <c r="I212" s="145">
        <v>-193.5</v>
      </c>
      <c r="J212" s="203">
        <v>-500</v>
      </c>
      <c r="K212" s="296"/>
      <c r="L212" s="299"/>
      <c r="N212" s="251"/>
    </row>
    <row r="213" spans="1:14" s="144" customFormat="1" x14ac:dyDescent="0.3">
      <c r="A213" s="10">
        <v>5525</v>
      </c>
      <c r="B213" s="10" t="s">
        <v>199</v>
      </c>
      <c r="C213" s="99">
        <v>-4410</v>
      </c>
      <c r="D213" s="99">
        <v>0</v>
      </c>
      <c r="E213" s="48">
        <v>-6055</v>
      </c>
      <c r="F213" s="48">
        <v>0</v>
      </c>
      <c r="G213" s="145">
        <v>-5523</v>
      </c>
      <c r="H213" s="145">
        <v>-8000</v>
      </c>
      <c r="I213" s="145">
        <v>-4703.32</v>
      </c>
      <c r="J213" s="203">
        <v>-8000</v>
      </c>
      <c r="K213" s="326"/>
      <c r="L213" s="327"/>
      <c r="N213" s="251"/>
    </row>
    <row r="214" spans="1:14" x14ac:dyDescent="0.3">
      <c r="A214" s="45">
        <v>810701</v>
      </c>
      <c r="B214" s="45" t="s">
        <v>200</v>
      </c>
      <c r="C214" s="46">
        <f t="shared" ref="C214:F214" si="71">SUM(C215:C226)</f>
        <v>-18057</v>
      </c>
      <c r="D214" s="46">
        <f t="shared" si="71"/>
        <v>0</v>
      </c>
      <c r="E214" s="46">
        <f t="shared" si="71"/>
        <v>-20191</v>
      </c>
      <c r="F214" s="46">
        <f t="shared" si="71"/>
        <v>0</v>
      </c>
      <c r="G214" s="46">
        <f>SUM(G215:G226)</f>
        <v>-19743</v>
      </c>
      <c r="H214" s="46">
        <f>SUM(H215:H226)</f>
        <v>-21162</v>
      </c>
      <c r="I214" s="46">
        <f>SUM(I215:I226)</f>
        <v>-20683.25</v>
      </c>
      <c r="J214" s="46">
        <f>SUM(J215:J226)</f>
        <v>-20626</v>
      </c>
      <c r="K214" s="221"/>
      <c r="M214" s="231"/>
    </row>
    <row r="215" spans="1:14" s="144" customFormat="1" x14ac:dyDescent="0.3">
      <c r="A215" s="10">
        <v>4500</v>
      </c>
      <c r="B215" s="10" t="s">
        <v>161</v>
      </c>
      <c r="C215" s="99">
        <v>0</v>
      </c>
      <c r="D215" s="99">
        <v>0</v>
      </c>
      <c r="E215" s="48">
        <v>0</v>
      </c>
      <c r="F215" s="31">
        <v>0</v>
      </c>
      <c r="G215" s="31">
        <v>0</v>
      </c>
      <c r="H215" s="31">
        <v>0</v>
      </c>
      <c r="I215" s="31"/>
      <c r="J215" s="203">
        <v>0</v>
      </c>
      <c r="L215" s="305"/>
      <c r="N215" s="251"/>
    </row>
    <row r="216" spans="1:14" s="144" customFormat="1" x14ac:dyDescent="0.3">
      <c r="A216" s="10">
        <v>5002</v>
      </c>
      <c r="B216" s="10" t="s">
        <v>172</v>
      </c>
      <c r="C216" s="99">
        <v>-8640</v>
      </c>
      <c r="D216" s="99">
        <v>0</v>
      </c>
      <c r="E216" s="48">
        <v>-9440</v>
      </c>
      <c r="F216" s="31">
        <v>0</v>
      </c>
      <c r="G216" s="31">
        <v>-10995</v>
      </c>
      <c r="H216" s="31">
        <v>-10800</v>
      </c>
      <c r="I216" s="31">
        <v>-11811.3</v>
      </c>
      <c r="J216" s="203">
        <v>-10800</v>
      </c>
      <c r="L216" s="305"/>
      <c r="N216" s="251"/>
    </row>
    <row r="217" spans="1:14" s="144" customFormat="1" x14ac:dyDescent="0.3">
      <c r="A217" s="10">
        <v>5005</v>
      </c>
      <c r="B217" s="10" t="s">
        <v>123</v>
      </c>
      <c r="C217" s="99">
        <v>-2453</v>
      </c>
      <c r="D217" s="99">
        <v>0</v>
      </c>
      <c r="E217" s="48">
        <v>-2595</v>
      </c>
      <c r="F217" s="31">
        <v>0</v>
      </c>
      <c r="G217" s="31">
        <v>-1462</v>
      </c>
      <c r="H217" s="31">
        <v>-2400</v>
      </c>
      <c r="I217" s="31">
        <v>-1277.78</v>
      </c>
      <c r="J217" s="203">
        <v>-2000</v>
      </c>
      <c r="L217" s="305"/>
      <c r="N217" s="251"/>
    </row>
    <row r="218" spans="1:14" s="144" customFormat="1" x14ac:dyDescent="0.3">
      <c r="A218" s="10">
        <v>506</v>
      </c>
      <c r="B218" s="10" t="s">
        <v>108</v>
      </c>
      <c r="C218" s="99">
        <v>-3810</v>
      </c>
      <c r="D218" s="99">
        <v>0</v>
      </c>
      <c r="E218" s="48">
        <v>-3659</v>
      </c>
      <c r="F218" s="31">
        <v>0</v>
      </c>
      <c r="G218" s="31">
        <v>-4245</v>
      </c>
      <c r="H218" s="31">
        <v>-4462</v>
      </c>
      <c r="I218" s="31">
        <v>-4369.75</v>
      </c>
      <c r="J218" s="203">
        <v>-4326</v>
      </c>
      <c r="K218" s="296"/>
      <c r="L218" s="328"/>
      <c r="N218" s="251"/>
    </row>
    <row r="219" spans="1:14" s="144" customFormat="1" x14ac:dyDescent="0.3">
      <c r="A219" s="10">
        <v>5500</v>
      </c>
      <c r="B219" s="10" t="s">
        <v>109</v>
      </c>
      <c r="C219" s="99">
        <v>-68</v>
      </c>
      <c r="D219" s="31">
        <v>0</v>
      </c>
      <c r="E219" s="48">
        <v>-67</v>
      </c>
      <c r="F219" s="31">
        <v>0</v>
      </c>
      <c r="G219" s="31">
        <v>-63</v>
      </c>
      <c r="H219" s="31">
        <v>-150</v>
      </c>
      <c r="I219" s="31">
        <v>-55.76</v>
      </c>
      <c r="J219" s="203">
        <v>-150</v>
      </c>
      <c r="K219" s="296"/>
      <c r="L219" s="299"/>
      <c r="N219" s="251"/>
    </row>
    <row r="220" spans="1:14" s="144" customFormat="1" x14ac:dyDescent="0.3">
      <c r="A220" s="10">
        <v>5504</v>
      </c>
      <c r="B220" s="10" t="s">
        <v>111</v>
      </c>
      <c r="C220" s="99">
        <v>-45</v>
      </c>
      <c r="D220" s="99">
        <v>0</v>
      </c>
      <c r="E220" s="48">
        <v>0</v>
      </c>
      <c r="F220" s="31">
        <v>0</v>
      </c>
      <c r="G220" s="31">
        <v>-124</v>
      </c>
      <c r="H220" s="31">
        <v>-200</v>
      </c>
      <c r="I220" s="31">
        <v>-180</v>
      </c>
      <c r="J220" s="203">
        <v>-200</v>
      </c>
      <c r="K220" s="296"/>
      <c r="L220" s="299"/>
      <c r="N220" s="251"/>
    </row>
    <row r="221" spans="1:14" s="144" customFormat="1" x14ac:dyDescent="0.3">
      <c r="A221" s="10">
        <v>5511</v>
      </c>
      <c r="B221" s="10" t="s">
        <v>125</v>
      </c>
      <c r="C221" s="99">
        <v>-916</v>
      </c>
      <c r="D221" s="99">
        <v>0</v>
      </c>
      <c r="E221" s="48">
        <v>-344</v>
      </c>
      <c r="F221" s="31">
        <v>0</v>
      </c>
      <c r="G221" s="31">
        <v>-248</v>
      </c>
      <c r="H221" s="31">
        <v>-500</v>
      </c>
      <c r="I221" s="31"/>
      <c r="J221" s="203">
        <v>-500</v>
      </c>
      <c r="K221" s="296"/>
      <c r="L221" s="299"/>
      <c r="N221" s="251"/>
    </row>
    <row r="222" spans="1:14" s="144" customFormat="1" x14ac:dyDescent="0.3">
      <c r="A222" s="10">
        <v>5514</v>
      </c>
      <c r="B222" s="10" t="s">
        <v>113</v>
      </c>
      <c r="C222" s="99">
        <v>-517</v>
      </c>
      <c r="D222" s="99">
        <v>0</v>
      </c>
      <c r="E222" s="48">
        <v>-612</v>
      </c>
      <c r="F222" s="31">
        <v>0</v>
      </c>
      <c r="G222" s="31">
        <v>-734</v>
      </c>
      <c r="H222" s="31">
        <v>-500</v>
      </c>
      <c r="I222" s="31">
        <v>-513.48</v>
      </c>
      <c r="J222" s="203">
        <v>-500</v>
      </c>
      <c r="K222" s="296"/>
      <c r="L222" s="299"/>
      <c r="N222" s="251"/>
    </row>
    <row r="223" spans="1:14" s="144" customFormat="1" x14ac:dyDescent="0.3">
      <c r="A223" s="10">
        <v>5522</v>
      </c>
      <c r="B223" s="10" t="s">
        <v>201</v>
      </c>
      <c r="C223" s="99">
        <v>-23</v>
      </c>
      <c r="D223" s="99">
        <v>0</v>
      </c>
      <c r="E223" s="48">
        <v>-91</v>
      </c>
      <c r="F223" s="31">
        <v>0</v>
      </c>
      <c r="G223" s="31">
        <v>-42</v>
      </c>
      <c r="H223" s="31">
        <v>-150</v>
      </c>
      <c r="I223" s="31">
        <v>-184.2</v>
      </c>
      <c r="J223" s="203">
        <v>-150</v>
      </c>
      <c r="K223" s="296"/>
      <c r="L223" s="299"/>
      <c r="N223" s="251"/>
    </row>
    <row r="224" spans="1:14" s="144" customFormat="1" x14ac:dyDescent="0.3">
      <c r="A224" s="10">
        <v>5524</v>
      </c>
      <c r="B224" s="10" t="s">
        <v>202</v>
      </c>
      <c r="C224" s="99">
        <v>0</v>
      </c>
      <c r="D224" s="99">
        <v>0</v>
      </c>
      <c r="E224" s="48">
        <v>0</v>
      </c>
      <c r="F224" s="31">
        <v>0</v>
      </c>
      <c r="G224" s="31">
        <v>0</v>
      </c>
      <c r="H224" s="31">
        <v>0</v>
      </c>
      <c r="J224" s="203">
        <v>0</v>
      </c>
      <c r="K224" s="296"/>
      <c r="L224" s="299"/>
      <c r="N224" s="251"/>
    </row>
    <row r="225" spans="1:14" s="144" customFormat="1" x14ac:dyDescent="0.3">
      <c r="A225" s="10">
        <v>5525</v>
      </c>
      <c r="B225" s="10" t="s">
        <v>199</v>
      </c>
      <c r="C225" s="99">
        <v>-1585</v>
      </c>
      <c r="D225" s="99">
        <v>0</v>
      </c>
      <c r="E225" s="48">
        <v>-3383</v>
      </c>
      <c r="F225" s="31">
        <v>0</v>
      </c>
      <c r="G225" s="31">
        <v>-1830</v>
      </c>
      <c r="H225" s="31">
        <v>-2000</v>
      </c>
      <c r="I225" s="31">
        <v>-2290.98</v>
      </c>
      <c r="J225" s="203">
        <v>-2000</v>
      </c>
      <c r="K225" s="296"/>
      <c r="L225" s="299"/>
      <c r="N225" s="251"/>
    </row>
    <row r="226" spans="1:14" s="144" customFormat="1" x14ac:dyDescent="0.3">
      <c r="A226" s="10">
        <v>5540</v>
      </c>
      <c r="B226" s="10" t="s">
        <v>129</v>
      </c>
      <c r="C226" s="99">
        <v>0</v>
      </c>
      <c r="D226" s="99">
        <v>0</v>
      </c>
      <c r="E226" s="48">
        <v>0</v>
      </c>
      <c r="F226" s="31">
        <v>0</v>
      </c>
      <c r="G226" s="31">
        <v>0</v>
      </c>
      <c r="H226" s="31">
        <v>0</v>
      </c>
      <c r="I226" s="31"/>
      <c r="J226" s="203">
        <v>0</v>
      </c>
      <c r="K226" s="326"/>
      <c r="L226" s="327"/>
      <c r="N226" s="251"/>
    </row>
    <row r="227" spans="1:14" s="120" customFormat="1" x14ac:dyDescent="0.3">
      <c r="A227" s="45">
        <v>810702</v>
      </c>
      <c r="B227" s="45" t="s">
        <v>203</v>
      </c>
      <c r="C227" s="46">
        <f t="shared" ref="C227:G227" si="72">SUM(C228:C238)</f>
        <v>0</v>
      </c>
      <c r="D227" s="46">
        <f t="shared" si="72"/>
        <v>-1090</v>
      </c>
      <c r="E227" s="46">
        <f t="shared" si="72"/>
        <v>0</v>
      </c>
      <c r="F227" s="46">
        <f t="shared" si="72"/>
        <v>-17473</v>
      </c>
      <c r="G227" s="46">
        <f t="shared" si="72"/>
        <v>-26639</v>
      </c>
      <c r="H227" s="46">
        <f t="shared" ref="H227:J227" si="73">SUM(H228:H238)</f>
        <v>-19812</v>
      </c>
      <c r="I227" s="46">
        <f>SUM(I228:I238)</f>
        <v>-14837.440000000002</v>
      </c>
      <c r="J227" s="46">
        <f t="shared" si="73"/>
        <v>-19626</v>
      </c>
      <c r="K227" s="221"/>
      <c r="L227" s="122"/>
      <c r="N227" s="250"/>
    </row>
    <row r="228" spans="1:14" s="144" customFormat="1" x14ac:dyDescent="0.3">
      <c r="A228" s="10">
        <v>4500</v>
      </c>
      <c r="B228" s="10" t="s">
        <v>161</v>
      </c>
      <c r="C228" s="99">
        <v>0</v>
      </c>
      <c r="D228" s="99">
        <v>0</v>
      </c>
      <c r="E228" s="48">
        <v>0</v>
      </c>
      <c r="F228" s="31">
        <v>-11054</v>
      </c>
      <c r="G228" s="31">
        <v>-12438</v>
      </c>
      <c r="H228" s="31">
        <v>0</v>
      </c>
      <c r="I228" s="31"/>
      <c r="J228" s="203">
        <v>0</v>
      </c>
      <c r="L228" s="305"/>
      <c r="N228" s="251"/>
    </row>
    <row r="229" spans="1:14" s="144" customFormat="1" x14ac:dyDescent="0.3">
      <c r="A229" s="10">
        <v>5002</v>
      </c>
      <c r="B229" s="10" t="s">
        <v>172</v>
      </c>
      <c r="C229" s="99">
        <v>0</v>
      </c>
      <c r="D229" s="99">
        <v>0</v>
      </c>
      <c r="E229" s="48">
        <v>0</v>
      </c>
      <c r="F229" s="31">
        <v>-4177</v>
      </c>
      <c r="G229" s="31">
        <v>-8076</v>
      </c>
      <c r="H229" s="31">
        <v>-10800</v>
      </c>
      <c r="I229" s="31">
        <v>-8390.9500000000007</v>
      </c>
      <c r="J229" s="203">
        <v>-10800</v>
      </c>
      <c r="L229" s="305"/>
      <c r="N229" s="251"/>
    </row>
    <row r="230" spans="1:14" s="144" customFormat="1" x14ac:dyDescent="0.3">
      <c r="A230" s="10">
        <v>5005</v>
      </c>
      <c r="B230" s="10" t="s">
        <v>123</v>
      </c>
      <c r="C230" s="99">
        <v>0</v>
      </c>
      <c r="D230" s="99">
        <v>0</v>
      </c>
      <c r="E230" s="48">
        <v>0</v>
      </c>
      <c r="F230" s="31">
        <v>-497</v>
      </c>
      <c r="G230" s="31">
        <v>-290</v>
      </c>
      <c r="H230" s="31">
        <v>-2400</v>
      </c>
      <c r="I230" s="31">
        <v>-1122.8599999999999</v>
      </c>
      <c r="J230" s="203">
        <v>-2000</v>
      </c>
      <c r="L230" s="305"/>
      <c r="N230" s="251"/>
    </row>
    <row r="231" spans="1:14" s="144" customFormat="1" x14ac:dyDescent="0.3">
      <c r="A231" s="10">
        <v>506</v>
      </c>
      <c r="B231" s="10" t="s">
        <v>108</v>
      </c>
      <c r="C231" s="99">
        <v>0</v>
      </c>
      <c r="D231" s="99">
        <v>0</v>
      </c>
      <c r="E231" s="48">
        <v>0</v>
      </c>
      <c r="F231" s="31">
        <v>-1221</v>
      </c>
      <c r="G231" s="31">
        <v>-3067</v>
      </c>
      <c r="H231" s="31">
        <v>-4462</v>
      </c>
      <c r="I231" s="31">
        <v>-3215.66</v>
      </c>
      <c r="J231" s="203">
        <v>-4326</v>
      </c>
      <c r="K231" s="339"/>
      <c r="L231" s="340"/>
      <c r="N231" s="251"/>
    </row>
    <row r="232" spans="1:14" s="144" customFormat="1" x14ac:dyDescent="0.3">
      <c r="A232" s="10">
        <v>5500</v>
      </c>
      <c r="B232" s="10" t="s">
        <v>109</v>
      </c>
      <c r="C232" s="99">
        <v>0</v>
      </c>
      <c r="D232" s="31">
        <v>-1090</v>
      </c>
      <c r="E232" s="48">
        <v>0</v>
      </c>
      <c r="F232" s="31">
        <v>-324</v>
      </c>
      <c r="G232" s="31">
        <v>0</v>
      </c>
      <c r="H232" s="31">
        <v>-500</v>
      </c>
      <c r="I232" s="31">
        <v>-49.25</v>
      </c>
      <c r="J232" s="203">
        <v>-150</v>
      </c>
      <c r="K232" s="339"/>
      <c r="L232" s="341"/>
      <c r="N232" s="251"/>
    </row>
    <row r="233" spans="1:14" s="144" customFormat="1" x14ac:dyDescent="0.3">
      <c r="A233" s="10">
        <v>5504</v>
      </c>
      <c r="B233" s="10" t="s">
        <v>111</v>
      </c>
      <c r="C233" s="99">
        <v>0</v>
      </c>
      <c r="D233" s="31">
        <v>0</v>
      </c>
      <c r="E233" s="48">
        <v>0</v>
      </c>
      <c r="F233" s="31">
        <v>0</v>
      </c>
      <c r="G233" s="31">
        <v>0</v>
      </c>
      <c r="H233" s="31">
        <v>-350</v>
      </c>
      <c r="I233" s="31">
        <v>-247.45</v>
      </c>
      <c r="J233" s="203">
        <v>-250</v>
      </c>
      <c r="K233" s="339"/>
      <c r="L233" s="341"/>
      <c r="N233" s="251"/>
    </row>
    <row r="234" spans="1:14" s="144" customFormat="1" x14ac:dyDescent="0.3">
      <c r="A234" s="10">
        <v>5514</v>
      </c>
      <c r="B234" s="10" t="s">
        <v>113</v>
      </c>
      <c r="C234" s="99">
        <v>0</v>
      </c>
      <c r="D234" s="99">
        <v>0</v>
      </c>
      <c r="E234" s="48">
        <v>0</v>
      </c>
      <c r="F234" s="31">
        <v>-102</v>
      </c>
      <c r="G234" s="31">
        <v>-1440</v>
      </c>
      <c r="H234" s="31">
        <v>-500</v>
      </c>
      <c r="I234" s="31"/>
      <c r="J234" s="203">
        <v>-500</v>
      </c>
      <c r="K234" s="339"/>
      <c r="L234" s="341"/>
      <c r="N234" s="251"/>
    </row>
    <row r="235" spans="1:14" s="144" customFormat="1" x14ac:dyDescent="0.3">
      <c r="A235" s="10">
        <v>5515</v>
      </c>
      <c r="B235" s="10" t="s">
        <v>126</v>
      </c>
      <c r="C235" s="99">
        <v>0</v>
      </c>
      <c r="D235" s="99">
        <v>0</v>
      </c>
      <c r="E235" s="48">
        <v>0</v>
      </c>
      <c r="F235" s="31">
        <v>0</v>
      </c>
      <c r="G235" s="31">
        <v>-1013</v>
      </c>
      <c r="H235" s="31">
        <v>-300</v>
      </c>
      <c r="I235" s="31">
        <v>-823.89</v>
      </c>
      <c r="J235" s="203">
        <v>-300</v>
      </c>
      <c r="K235" s="339"/>
      <c r="L235" s="341"/>
      <c r="N235" s="251"/>
    </row>
    <row r="236" spans="1:14" s="144" customFormat="1" x14ac:dyDescent="0.3">
      <c r="A236" s="10">
        <v>5524</v>
      </c>
      <c r="B236" s="10" t="s">
        <v>202</v>
      </c>
      <c r="C236" s="99">
        <v>0</v>
      </c>
      <c r="D236" s="99">
        <v>0</v>
      </c>
      <c r="E236" s="48">
        <v>0</v>
      </c>
      <c r="F236" s="31">
        <v>0</v>
      </c>
      <c r="G236" s="31">
        <v>0</v>
      </c>
      <c r="H236" s="31">
        <v>-500</v>
      </c>
      <c r="I236" s="31">
        <v>-206.62</v>
      </c>
      <c r="J236" s="203">
        <v>-300</v>
      </c>
      <c r="K236" s="339"/>
      <c r="L236" s="341"/>
      <c r="N236" s="251"/>
    </row>
    <row r="237" spans="1:14" s="144" customFormat="1" x14ac:dyDescent="0.3">
      <c r="A237" s="10">
        <v>5525</v>
      </c>
      <c r="B237" s="10" t="s">
        <v>199</v>
      </c>
      <c r="C237" s="99">
        <v>0</v>
      </c>
      <c r="D237" s="99">
        <v>0</v>
      </c>
      <c r="E237" s="48">
        <v>0</v>
      </c>
      <c r="F237" s="31">
        <v>0</v>
      </c>
      <c r="G237" s="31">
        <v>-315</v>
      </c>
      <c r="H237" s="31">
        <v>0</v>
      </c>
      <c r="I237" s="31">
        <v>-366.03</v>
      </c>
      <c r="J237" s="203">
        <v>-1000</v>
      </c>
      <c r="K237" s="339"/>
      <c r="L237" s="341"/>
      <c r="N237" s="251"/>
    </row>
    <row r="238" spans="1:14" s="144" customFormat="1" x14ac:dyDescent="0.3">
      <c r="A238" s="10">
        <v>5540</v>
      </c>
      <c r="B238" s="10" t="s">
        <v>129</v>
      </c>
      <c r="C238" s="99">
        <v>0</v>
      </c>
      <c r="D238" s="99">
        <v>0</v>
      </c>
      <c r="E238" s="48">
        <v>0</v>
      </c>
      <c r="F238" s="31">
        <v>-98</v>
      </c>
      <c r="G238" s="31">
        <v>0</v>
      </c>
      <c r="H238" s="31">
        <v>0</v>
      </c>
      <c r="I238" s="31">
        <v>-414.73</v>
      </c>
      <c r="J238" s="203">
        <v>0</v>
      </c>
      <c r="K238" s="342"/>
      <c r="L238" s="343"/>
      <c r="N238" s="251"/>
    </row>
    <row r="239" spans="1:14" x14ac:dyDescent="0.3">
      <c r="A239" s="45" t="s">
        <v>204</v>
      </c>
      <c r="B239" s="45" t="s">
        <v>205</v>
      </c>
      <c r="C239" s="46">
        <f t="shared" ref="C239:F239" si="74">SUM(C240:C247)</f>
        <v>-5300</v>
      </c>
      <c r="D239" s="46">
        <f t="shared" si="74"/>
        <v>-15696</v>
      </c>
      <c r="E239" s="46">
        <f t="shared" si="74"/>
        <v>-5849</v>
      </c>
      <c r="F239" s="46">
        <f t="shared" si="74"/>
        <v>-31428</v>
      </c>
      <c r="G239" s="46">
        <f>SUM(G240:G247)</f>
        <v>-22517</v>
      </c>
      <c r="H239" s="46">
        <f>SUM(H240:H247)</f>
        <v>-32500</v>
      </c>
      <c r="I239" s="46">
        <f>SUM(I240:I247)</f>
        <v>-36200.339999999997</v>
      </c>
      <c r="J239" s="46">
        <f>SUM(J240:J247)</f>
        <v>-50500</v>
      </c>
      <c r="K239" s="344"/>
      <c r="L239" s="345"/>
    </row>
    <row r="240" spans="1:14" s="144" customFormat="1" x14ac:dyDescent="0.3">
      <c r="A240" s="10">
        <v>4139</v>
      </c>
      <c r="B240" s="10" t="s">
        <v>206</v>
      </c>
      <c r="C240" s="99">
        <v>0</v>
      </c>
      <c r="D240" s="99">
        <v>0</v>
      </c>
      <c r="E240" s="48">
        <v>0</v>
      </c>
      <c r="F240" s="31">
        <v>0</v>
      </c>
      <c r="G240" s="145">
        <v>-2400</v>
      </c>
      <c r="H240" s="145">
        <v>-4000</v>
      </c>
      <c r="I240" s="145">
        <v>-2800</v>
      </c>
      <c r="J240" s="283">
        <v>-4500</v>
      </c>
      <c r="K240" s="311"/>
      <c r="L240" s="311"/>
      <c r="M240" s="259"/>
      <c r="N240" s="251"/>
    </row>
    <row r="241" spans="1:16" s="144" customFormat="1" x14ac:dyDescent="0.3">
      <c r="A241" s="10">
        <v>4500</v>
      </c>
      <c r="B241" s="10" t="s">
        <v>161</v>
      </c>
      <c r="C241" s="99">
        <v>-5300</v>
      </c>
      <c r="D241" s="99">
        <v>0</v>
      </c>
      <c r="E241" s="48">
        <v>-4569</v>
      </c>
      <c r="F241" s="31">
        <v>0</v>
      </c>
      <c r="G241" s="145">
        <v>-8200</v>
      </c>
      <c r="H241" s="145">
        <v>-4500</v>
      </c>
      <c r="I241" s="145">
        <v>-3100</v>
      </c>
      <c r="J241" s="203">
        <v>-7500</v>
      </c>
      <c r="K241" s="296"/>
      <c r="L241" s="328"/>
      <c r="N241" s="251"/>
    </row>
    <row r="242" spans="1:16" s="144" customFormat="1" x14ac:dyDescent="0.3">
      <c r="A242" s="10">
        <v>4528</v>
      </c>
      <c r="B242" s="10" t="s">
        <v>141</v>
      </c>
      <c r="C242" s="99">
        <v>0</v>
      </c>
      <c r="D242" s="99">
        <v>0</v>
      </c>
      <c r="E242" s="48">
        <v>-1280</v>
      </c>
      <c r="F242" s="31">
        <v>0</v>
      </c>
      <c r="G242" s="145">
        <v>0</v>
      </c>
      <c r="H242" s="145">
        <v>0</v>
      </c>
      <c r="I242" s="145"/>
      <c r="J242" s="203">
        <v>0</v>
      </c>
      <c r="L242" s="305"/>
      <c r="N242" s="251"/>
    </row>
    <row r="243" spans="1:16" s="144" customFormat="1" x14ac:dyDescent="0.3">
      <c r="A243" s="10">
        <v>5005</v>
      </c>
      <c r="B243" s="10" t="s">
        <v>123</v>
      </c>
      <c r="C243" s="99">
        <v>0</v>
      </c>
      <c r="D243" s="99">
        <v>0</v>
      </c>
      <c r="E243" s="48">
        <v>0</v>
      </c>
      <c r="F243" s="31">
        <v>0</v>
      </c>
      <c r="G243" s="145">
        <v>0</v>
      </c>
      <c r="H243" s="48">
        <v>-6000</v>
      </c>
      <c r="I243" s="145">
        <v>-3962.24</v>
      </c>
      <c r="J243" s="203">
        <v>0</v>
      </c>
      <c r="K243" s="311"/>
      <c r="L243" s="305"/>
      <c r="M243" s="251"/>
      <c r="N243" s="251"/>
    </row>
    <row r="244" spans="1:16" s="144" customFormat="1" x14ac:dyDescent="0.3">
      <c r="A244" s="10">
        <v>5500</v>
      </c>
      <c r="B244" s="10" t="s">
        <v>109</v>
      </c>
      <c r="C244" s="99">
        <v>0</v>
      </c>
      <c r="D244" s="99">
        <v>-15696</v>
      </c>
      <c r="E244" s="48">
        <v>0</v>
      </c>
      <c r="F244" s="31">
        <v>-31428</v>
      </c>
      <c r="G244" s="145">
        <v>-775</v>
      </c>
      <c r="H244" s="48">
        <v>-1000</v>
      </c>
      <c r="I244" s="145">
        <v>-638.4</v>
      </c>
      <c r="J244" s="203">
        <v>-1000</v>
      </c>
      <c r="L244" s="305"/>
      <c r="N244" s="251"/>
    </row>
    <row r="245" spans="1:16" s="144" customFormat="1" x14ac:dyDescent="0.3">
      <c r="A245" s="10">
        <v>5514</v>
      </c>
      <c r="B245" s="10" t="s">
        <v>113</v>
      </c>
      <c r="C245" s="99">
        <v>0</v>
      </c>
      <c r="D245" s="99">
        <v>0</v>
      </c>
      <c r="E245" s="48">
        <v>0</v>
      </c>
      <c r="F245" s="31">
        <v>0</v>
      </c>
      <c r="G245" s="145">
        <v>0</v>
      </c>
      <c r="H245" s="48">
        <v>0</v>
      </c>
      <c r="I245" s="145"/>
      <c r="J245" s="203">
        <v>0</v>
      </c>
      <c r="L245" s="305"/>
      <c r="N245" s="251"/>
    </row>
    <row r="246" spans="1:16" s="144" customFormat="1" x14ac:dyDescent="0.3">
      <c r="A246" s="10">
        <v>5525</v>
      </c>
      <c r="B246" s="10" t="s">
        <v>199</v>
      </c>
      <c r="C246" s="99">
        <v>0</v>
      </c>
      <c r="D246" s="99">
        <v>0</v>
      </c>
      <c r="E246" s="48">
        <v>0</v>
      </c>
      <c r="F246" s="31">
        <v>0</v>
      </c>
      <c r="G246" s="145">
        <v>-8567</v>
      </c>
      <c r="H246" s="48">
        <v>-17000</v>
      </c>
      <c r="I246" s="145">
        <v>-25699.7</v>
      </c>
      <c r="J246" s="203">
        <v>-37500</v>
      </c>
      <c r="K246" s="299"/>
      <c r="L246" s="299"/>
      <c r="M246" s="346"/>
      <c r="N246" s="346"/>
      <c r="O246" s="296"/>
      <c r="P246" s="296"/>
    </row>
    <row r="247" spans="1:16" s="144" customFormat="1" x14ac:dyDescent="0.3">
      <c r="A247" s="10">
        <v>5539</v>
      </c>
      <c r="B247" s="10" t="s">
        <v>207</v>
      </c>
      <c r="C247" s="31">
        <v>0</v>
      </c>
      <c r="D247" s="31">
        <v>0</v>
      </c>
      <c r="E247" s="31">
        <v>0</v>
      </c>
      <c r="F247" s="31">
        <v>0</v>
      </c>
      <c r="G247" s="145">
        <v>-2575</v>
      </c>
      <c r="H247" s="145">
        <v>0</v>
      </c>
      <c r="I247" s="145"/>
      <c r="J247" s="203">
        <v>0</v>
      </c>
      <c r="K247" s="326"/>
      <c r="L247" s="327"/>
      <c r="N247" s="251"/>
    </row>
    <row r="248" spans="1:16" hidden="1" x14ac:dyDescent="0.3">
      <c r="A248" s="45" t="s">
        <v>208</v>
      </c>
      <c r="B248" s="45" t="s">
        <v>209</v>
      </c>
      <c r="C248" s="46">
        <f t="shared" ref="C248:F248" si="75">SUM(C249:C258)</f>
        <v>0</v>
      </c>
      <c r="D248" s="46">
        <f t="shared" si="75"/>
        <v>-12512</v>
      </c>
      <c r="E248" s="46">
        <f t="shared" si="75"/>
        <v>0</v>
      </c>
      <c r="F248" s="46">
        <f t="shared" si="75"/>
        <v>-12370</v>
      </c>
      <c r="G248" s="46">
        <f t="shared" ref="G248" si="76">SUM(G249:G258)</f>
        <v>0</v>
      </c>
      <c r="H248" s="46">
        <f t="shared" ref="H248" si="77">SUM(H249:H258)</f>
        <v>0</v>
      </c>
      <c r="I248" s="46"/>
      <c r="J248" s="202"/>
    </row>
    <row r="249" spans="1:16" s="144" customFormat="1" hidden="1" x14ac:dyDescent="0.3">
      <c r="A249" s="10">
        <v>5002</v>
      </c>
      <c r="B249" s="10" t="s">
        <v>172</v>
      </c>
      <c r="C249" s="99">
        <v>0</v>
      </c>
      <c r="D249" s="31">
        <v>-5649</v>
      </c>
      <c r="E249" s="48">
        <v>0</v>
      </c>
      <c r="F249" s="31">
        <v>-6009</v>
      </c>
      <c r="G249" s="145">
        <v>0</v>
      </c>
      <c r="H249" s="145">
        <v>0</v>
      </c>
      <c r="I249" s="145"/>
      <c r="J249" s="203"/>
      <c r="L249" s="305"/>
      <c r="N249" s="251"/>
    </row>
    <row r="250" spans="1:16" s="144" customFormat="1" hidden="1" x14ac:dyDescent="0.3">
      <c r="A250" s="10">
        <v>506</v>
      </c>
      <c r="B250" s="10" t="s">
        <v>108</v>
      </c>
      <c r="C250" s="99">
        <v>0</v>
      </c>
      <c r="D250" s="31">
        <v>-1922</v>
      </c>
      <c r="E250" s="48">
        <v>0</v>
      </c>
      <c r="F250" s="31">
        <v>-2050</v>
      </c>
      <c r="G250" s="145">
        <v>0</v>
      </c>
      <c r="H250" s="145">
        <v>0</v>
      </c>
      <c r="I250" s="145"/>
      <c r="J250" s="203"/>
      <c r="L250" s="305"/>
      <c r="N250" s="251"/>
    </row>
    <row r="251" spans="1:16" s="144" customFormat="1" hidden="1" x14ac:dyDescent="0.3">
      <c r="A251" s="10">
        <v>5500</v>
      </c>
      <c r="B251" s="10" t="s">
        <v>109</v>
      </c>
      <c r="C251" s="99">
        <v>0</v>
      </c>
      <c r="D251" s="31">
        <v>-1300</v>
      </c>
      <c r="E251" s="48">
        <v>0</v>
      </c>
      <c r="F251" s="31">
        <v>-838</v>
      </c>
      <c r="G251" s="145">
        <v>0</v>
      </c>
      <c r="H251" s="145">
        <v>0</v>
      </c>
      <c r="I251" s="145"/>
      <c r="J251" s="203"/>
      <c r="L251" s="305"/>
      <c r="N251" s="251"/>
    </row>
    <row r="252" spans="1:16" s="144" customFormat="1" hidden="1" x14ac:dyDescent="0.3">
      <c r="A252" s="10">
        <v>5503</v>
      </c>
      <c r="B252" s="10" t="s">
        <v>124</v>
      </c>
      <c r="C252" s="99">
        <v>0</v>
      </c>
      <c r="D252" s="31">
        <v>-60</v>
      </c>
      <c r="E252" s="48">
        <v>0</v>
      </c>
      <c r="F252" s="31">
        <v>0</v>
      </c>
      <c r="G252" s="145">
        <v>0</v>
      </c>
      <c r="H252" s="145">
        <v>0</v>
      </c>
      <c r="I252" s="145"/>
      <c r="J252" s="203"/>
      <c r="L252" s="305"/>
      <c r="N252" s="251"/>
    </row>
    <row r="253" spans="1:16" s="144" customFormat="1" hidden="1" x14ac:dyDescent="0.3">
      <c r="A253" s="10">
        <v>5504</v>
      </c>
      <c r="B253" s="10" t="s">
        <v>111</v>
      </c>
      <c r="C253" s="99">
        <v>0</v>
      </c>
      <c r="D253" s="31">
        <v>-111</v>
      </c>
      <c r="E253" s="48">
        <v>0</v>
      </c>
      <c r="F253" s="31">
        <v>-13</v>
      </c>
      <c r="G253" s="145">
        <v>0</v>
      </c>
      <c r="H253" s="145">
        <v>0</v>
      </c>
      <c r="I253" s="145"/>
      <c r="J253" s="203"/>
      <c r="L253" s="305"/>
      <c r="N253" s="251"/>
    </row>
    <row r="254" spans="1:16" s="144" customFormat="1" hidden="1" x14ac:dyDescent="0.3">
      <c r="A254" s="10">
        <v>5511</v>
      </c>
      <c r="B254" s="10" t="s">
        <v>125</v>
      </c>
      <c r="C254" s="99">
        <v>0</v>
      </c>
      <c r="D254" s="31">
        <v>-1148</v>
      </c>
      <c r="E254" s="48">
        <v>0</v>
      </c>
      <c r="F254" s="31">
        <v>-1081</v>
      </c>
      <c r="G254" s="145">
        <v>0</v>
      </c>
      <c r="H254" s="145">
        <v>0</v>
      </c>
      <c r="I254" s="145"/>
      <c r="J254" s="203"/>
      <c r="L254" s="305"/>
      <c r="N254" s="251"/>
    </row>
    <row r="255" spans="1:16" s="144" customFormat="1" hidden="1" x14ac:dyDescent="0.3">
      <c r="A255" s="10">
        <v>5513</v>
      </c>
      <c r="B255" s="10" t="s">
        <v>112</v>
      </c>
      <c r="C255" s="99">
        <v>0</v>
      </c>
      <c r="D255" s="31">
        <v>-260</v>
      </c>
      <c r="E255" s="48">
        <v>0</v>
      </c>
      <c r="F255" s="31">
        <v>-260</v>
      </c>
      <c r="G255" s="145">
        <v>0</v>
      </c>
      <c r="H255" s="145">
        <v>0</v>
      </c>
      <c r="I255" s="145"/>
      <c r="J255" s="203"/>
      <c r="L255" s="305"/>
      <c r="N255" s="251"/>
    </row>
    <row r="256" spans="1:16" s="144" customFormat="1" hidden="1" x14ac:dyDescent="0.3">
      <c r="A256" s="10">
        <v>5514</v>
      </c>
      <c r="B256" s="10" t="s">
        <v>113</v>
      </c>
      <c r="C256" s="99">
        <v>0</v>
      </c>
      <c r="D256" s="31">
        <v>-694</v>
      </c>
      <c r="E256" s="48">
        <v>0</v>
      </c>
      <c r="F256" s="31">
        <v>-701</v>
      </c>
      <c r="G256" s="145">
        <v>0</v>
      </c>
      <c r="H256" s="145">
        <v>0</v>
      </c>
      <c r="I256" s="145"/>
      <c r="J256" s="203"/>
      <c r="L256" s="305"/>
      <c r="N256" s="251"/>
    </row>
    <row r="257" spans="1:14" s="144" customFormat="1" hidden="1" x14ac:dyDescent="0.3">
      <c r="A257" s="10">
        <v>5515</v>
      </c>
      <c r="B257" s="10" t="s">
        <v>126</v>
      </c>
      <c r="C257" s="99">
        <v>0</v>
      </c>
      <c r="D257" s="31">
        <v>-18</v>
      </c>
      <c r="E257" s="48">
        <v>0</v>
      </c>
      <c r="F257" s="31">
        <v>-18</v>
      </c>
      <c r="G257" s="145">
        <v>0</v>
      </c>
      <c r="H257" s="145">
        <v>0</v>
      </c>
      <c r="I257" s="145"/>
      <c r="J257" s="203"/>
      <c r="L257" s="305"/>
      <c r="N257" s="251"/>
    </row>
    <row r="258" spans="1:14" s="144" customFormat="1" hidden="1" x14ac:dyDescent="0.3">
      <c r="A258" s="10">
        <v>5523</v>
      </c>
      <c r="B258" s="10" t="s">
        <v>210</v>
      </c>
      <c r="C258" s="99">
        <v>0</v>
      </c>
      <c r="D258" s="31">
        <v>-1350</v>
      </c>
      <c r="E258" s="48">
        <v>0</v>
      </c>
      <c r="F258" s="31">
        <v>-1400</v>
      </c>
      <c r="G258" s="145">
        <v>0</v>
      </c>
      <c r="H258" s="145">
        <v>0</v>
      </c>
      <c r="I258" s="145"/>
      <c r="J258" s="203"/>
      <c r="L258" s="305"/>
      <c r="N258" s="251"/>
    </row>
    <row r="259" spans="1:14" hidden="1" x14ac:dyDescent="0.3">
      <c r="A259" s="45" t="s">
        <v>211</v>
      </c>
      <c r="B259" s="45" t="s">
        <v>212</v>
      </c>
      <c r="C259" s="46">
        <f t="shared" ref="C259:F259" si="78">SUM(C260:C270)</f>
        <v>0</v>
      </c>
      <c r="D259" s="46">
        <f t="shared" si="78"/>
        <v>-18039</v>
      </c>
      <c r="E259" s="46">
        <f t="shared" si="78"/>
        <v>0</v>
      </c>
      <c r="F259" s="46">
        <f t="shared" si="78"/>
        <v>-17943</v>
      </c>
      <c r="G259" s="46">
        <f t="shared" ref="G259" si="79">SUM(G260:G270)</f>
        <v>0</v>
      </c>
      <c r="H259" s="46">
        <f t="shared" ref="H259" si="80">SUM(H260:H270)</f>
        <v>0</v>
      </c>
      <c r="I259" s="46"/>
      <c r="J259" s="202"/>
    </row>
    <row r="260" spans="1:14" s="144" customFormat="1" hidden="1" x14ac:dyDescent="0.3">
      <c r="A260" s="10">
        <v>5002</v>
      </c>
      <c r="B260" s="10" t="s">
        <v>172</v>
      </c>
      <c r="C260" s="99">
        <v>0</v>
      </c>
      <c r="D260" s="31">
        <v>-8769</v>
      </c>
      <c r="E260" s="48">
        <v>0</v>
      </c>
      <c r="F260" s="31">
        <v>-7750</v>
      </c>
      <c r="G260" s="145">
        <v>0</v>
      </c>
      <c r="H260" s="145">
        <v>0</v>
      </c>
      <c r="I260" s="145"/>
      <c r="J260" s="203"/>
      <c r="L260" s="305"/>
      <c r="N260" s="251"/>
    </row>
    <row r="261" spans="1:14" s="144" customFormat="1" hidden="1" x14ac:dyDescent="0.3">
      <c r="A261" s="10">
        <v>5008</v>
      </c>
      <c r="B261" s="10" t="s">
        <v>198</v>
      </c>
      <c r="C261" s="99">
        <v>0</v>
      </c>
      <c r="D261" s="31">
        <v>0</v>
      </c>
      <c r="E261" s="48">
        <v>0</v>
      </c>
      <c r="F261" s="31">
        <v>-67</v>
      </c>
      <c r="G261" s="145">
        <v>0</v>
      </c>
      <c r="H261" s="145">
        <v>0</v>
      </c>
      <c r="I261" s="145"/>
      <c r="J261" s="203"/>
      <c r="L261" s="305"/>
      <c r="N261" s="251"/>
    </row>
    <row r="262" spans="1:14" s="144" customFormat="1" hidden="1" x14ac:dyDescent="0.3">
      <c r="A262" s="10">
        <v>506</v>
      </c>
      <c r="B262" s="10" t="s">
        <v>108</v>
      </c>
      <c r="C262" s="99">
        <v>0</v>
      </c>
      <c r="D262" s="31">
        <v>-2891</v>
      </c>
      <c r="E262" s="48">
        <v>0</v>
      </c>
      <c r="F262" s="31">
        <v>-2653</v>
      </c>
      <c r="G262" s="145">
        <v>0</v>
      </c>
      <c r="H262" s="145">
        <v>0</v>
      </c>
      <c r="I262" s="145"/>
      <c r="J262" s="203"/>
      <c r="L262" s="305"/>
      <c r="N262" s="251"/>
    </row>
    <row r="263" spans="1:14" s="144" customFormat="1" hidden="1" x14ac:dyDescent="0.3">
      <c r="A263" s="10">
        <v>5500</v>
      </c>
      <c r="B263" s="10" t="s">
        <v>109</v>
      </c>
      <c r="C263" s="99">
        <v>0</v>
      </c>
      <c r="D263" s="31">
        <v>-1447</v>
      </c>
      <c r="E263" s="48">
        <v>0</v>
      </c>
      <c r="F263" s="31">
        <v>-2407</v>
      </c>
      <c r="G263" s="145">
        <v>0</v>
      </c>
      <c r="H263" s="145">
        <v>0</v>
      </c>
      <c r="I263" s="145"/>
      <c r="J263" s="203"/>
      <c r="L263" s="305"/>
      <c r="N263" s="251"/>
    </row>
    <row r="264" spans="1:14" s="144" customFormat="1" hidden="1" x14ac:dyDescent="0.3">
      <c r="A264" s="10">
        <v>5503</v>
      </c>
      <c r="B264" s="10" t="s">
        <v>124</v>
      </c>
      <c r="C264" s="99">
        <v>0</v>
      </c>
      <c r="D264" s="31">
        <v>-60</v>
      </c>
      <c r="E264" s="48">
        <v>0</v>
      </c>
      <c r="F264" s="31">
        <v>0</v>
      </c>
      <c r="G264" s="145">
        <v>0</v>
      </c>
      <c r="H264" s="145">
        <v>0</v>
      </c>
      <c r="I264" s="145"/>
      <c r="J264" s="203"/>
      <c r="L264" s="305"/>
      <c r="N264" s="251"/>
    </row>
    <row r="265" spans="1:14" s="144" customFormat="1" hidden="1" x14ac:dyDescent="0.3">
      <c r="A265" s="10">
        <v>5504</v>
      </c>
      <c r="B265" s="10" t="s">
        <v>111</v>
      </c>
      <c r="C265" s="99">
        <v>0</v>
      </c>
      <c r="D265" s="31">
        <v>-105</v>
      </c>
      <c r="E265" s="48">
        <v>0</v>
      </c>
      <c r="F265" s="31">
        <v>-8</v>
      </c>
      <c r="G265" s="145">
        <v>0</v>
      </c>
      <c r="H265" s="145">
        <v>0</v>
      </c>
      <c r="I265" s="145"/>
      <c r="J265" s="203"/>
      <c r="L265" s="305"/>
      <c r="N265" s="251"/>
    </row>
    <row r="266" spans="1:14" s="144" customFormat="1" hidden="1" x14ac:dyDescent="0.3">
      <c r="A266" s="10">
        <v>5511</v>
      </c>
      <c r="B266" s="10" t="s">
        <v>125</v>
      </c>
      <c r="C266" s="99">
        <v>0</v>
      </c>
      <c r="D266" s="31">
        <v>-1650</v>
      </c>
      <c r="E266" s="48">
        <v>0</v>
      </c>
      <c r="F266" s="31">
        <v>-2744</v>
      </c>
      <c r="G266" s="145">
        <v>0</v>
      </c>
      <c r="H266" s="145">
        <v>0</v>
      </c>
      <c r="I266" s="145"/>
      <c r="J266" s="203"/>
      <c r="L266" s="305"/>
      <c r="N266" s="251"/>
    </row>
    <row r="267" spans="1:14" s="144" customFormat="1" hidden="1" x14ac:dyDescent="0.3">
      <c r="A267" s="10">
        <v>5513</v>
      </c>
      <c r="B267" s="10" t="s">
        <v>112</v>
      </c>
      <c r="C267" s="99">
        <v>0</v>
      </c>
      <c r="D267" s="31">
        <v>0</v>
      </c>
      <c r="E267" s="48">
        <v>0</v>
      </c>
      <c r="F267" s="31">
        <v>-11</v>
      </c>
      <c r="G267" s="145">
        <v>0</v>
      </c>
      <c r="H267" s="145">
        <v>0</v>
      </c>
      <c r="I267" s="145"/>
      <c r="J267" s="203"/>
      <c r="L267" s="305"/>
      <c r="N267" s="251"/>
    </row>
    <row r="268" spans="1:14" s="144" customFormat="1" hidden="1" x14ac:dyDescent="0.3">
      <c r="A268" s="10">
        <v>5514</v>
      </c>
      <c r="B268" s="10" t="s">
        <v>113</v>
      </c>
      <c r="C268" s="99">
        <v>0</v>
      </c>
      <c r="D268" s="31">
        <v>-351</v>
      </c>
      <c r="E268" s="48">
        <v>0</v>
      </c>
      <c r="F268" s="31">
        <v>-419</v>
      </c>
      <c r="G268" s="145">
        <v>0</v>
      </c>
      <c r="H268" s="145">
        <v>0</v>
      </c>
      <c r="I268" s="145"/>
      <c r="J268" s="203"/>
      <c r="L268" s="305"/>
      <c r="N268" s="251"/>
    </row>
    <row r="269" spans="1:14" s="144" customFormat="1" hidden="1" x14ac:dyDescent="0.3">
      <c r="A269" s="10">
        <v>5515</v>
      </c>
      <c r="B269" s="10" t="s">
        <v>126</v>
      </c>
      <c r="C269" s="99">
        <v>0</v>
      </c>
      <c r="D269" s="31">
        <v>-1466</v>
      </c>
      <c r="E269" s="48">
        <v>0</v>
      </c>
      <c r="F269" s="31">
        <v>-84</v>
      </c>
      <c r="G269" s="145">
        <v>0</v>
      </c>
      <c r="H269" s="145">
        <v>0</v>
      </c>
      <c r="I269" s="145"/>
      <c r="J269" s="203"/>
      <c r="L269" s="305"/>
      <c r="N269" s="251"/>
    </row>
    <row r="270" spans="1:14" s="144" customFormat="1" hidden="1" x14ac:dyDescent="0.3">
      <c r="A270" s="10">
        <v>5523</v>
      </c>
      <c r="B270" s="10" t="s">
        <v>210</v>
      </c>
      <c r="C270" s="99">
        <v>0</v>
      </c>
      <c r="D270" s="31">
        <v>-1300</v>
      </c>
      <c r="E270" s="48">
        <v>0</v>
      </c>
      <c r="F270" s="31">
        <v>-1800</v>
      </c>
      <c r="G270" s="145">
        <v>0</v>
      </c>
      <c r="H270" s="145">
        <v>0</v>
      </c>
      <c r="I270" s="145"/>
      <c r="J270" s="203"/>
      <c r="L270" s="305"/>
      <c r="N270" s="251"/>
    </row>
    <row r="271" spans="1:14" hidden="1" x14ac:dyDescent="0.3">
      <c r="A271" s="45" t="s">
        <v>213</v>
      </c>
      <c r="B271" s="45" t="s">
        <v>214</v>
      </c>
      <c r="C271" s="46">
        <f t="shared" ref="C271:F271" si="81">SUM(C272:C281)</f>
        <v>0</v>
      </c>
      <c r="D271" s="46">
        <f t="shared" si="81"/>
        <v>-12210</v>
      </c>
      <c r="E271" s="46">
        <f t="shared" si="81"/>
        <v>0</v>
      </c>
      <c r="F271" s="46">
        <f t="shared" si="81"/>
        <v>-12469</v>
      </c>
      <c r="G271" s="46">
        <f>SUM(G272:G281)</f>
        <v>0</v>
      </c>
      <c r="H271" s="46">
        <f>SUM(H272:H281)</f>
        <v>0</v>
      </c>
      <c r="I271" s="46"/>
      <c r="J271" s="202"/>
    </row>
    <row r="272" spans="1:14" s="144" customFormat="1" hidden="1" x14ac:dyDescent="0.3">
      <c r="A272" s="10">
        <v>5002</v>
      </c>
      <c r="B272" s="10" t="s">
        <v>172</v>
      </c>
      <c r="C272" s="99">
        <v>0</v>
      </c>
      <c r="D272" s="31">
        <v>-5509</v>
      </c>
      <c r="E272" s="48">
        <v>0</v>
      </c>
      <c r="F272" s="31">
        <v>-5687</v>
      </c>
      <c r="G272" s="145">
        <v>0</v>
      </c>
      <c r="H272" s="145">
        <v>0</v>
      </c>
      <c r="I272" s="145"/>
      <c r="J272" s="203"/>
      <c r="L272" s="305"/>
      <c r="N272" s="251"/>
    </row>
    <row r="273" spans="1:14" s="144" customFormat="1" hidden="1" x14ac:dyDescent="0.3">
      <c r="A273" s="10">
        <v>506</v>
      </c>
      <c r="B273" s="10" t="s">
        <v>108</v>
      </c>
      <c r="C273" s="99">
        <v>0</v>
      </c>
      <c r="D273" s="31">
        <v>-1874</v>
      </c>
      <c r="E273" s="48">
        <v>0</v>
      </c>
      <c r="F273" s="31">
        <v>-1915</v>
      </c>
      <c r="G273" s="145">
        <v>0</v>
      </c>
      <c r="H273" s="145">
        <v>0</v>
      </c>
      <c r="I273" s="145"/>
      <c r="J273" s="203"/>
      <c r="L273" s="305"/>
      <c r="N273" s="251"/>
    </row>
    <row r="274" spans="1:14" s="144" customFormat="1" hidden="1" x14ac:dyDescent="0.3">
      <c r="A274" s="10">
        <v>5500</v>
      </c>
      <c r="B274" s="10" t="s">
        <v>109</v>
      </c>
      <c r="C274" s="99">
        <v>0</v>
      </c>
      <c r="D274" s="31">
        <v>-1060</v>
      </c>
      <c r="E274" s="48">
        <v>0</v>
      </c>
      <c r="F274" s="31">
        <v>-1134</v>
      </c>
      <c r="G274" s="145">
        <v>0</v>
      </c>
      <c r="H274" s="145">
        <v>0</v>
      </c>
      <c r="I274" s="145"/>
      <c r="J274" s="203"/>
      <c r="L274" s="305"/>
      <c r="N274" s="251"/>
    </row>
    <row r="275" spans="1:14" s="144" customFormat="1" hidden="1" x14ac:dyDescent="0.3">
      <c r="A275" s="10">
        <v>5503</v>
      </c>
      <c r="B275" s="10" t="s">
        <v>124</v>
      </c>
      <c r="C275" s="99">
        <v>0</v>
      </c>
      <c r="D275" s="31">
        <v>-60</v>
      </c>
      <c r="E275" s="48">
        <v>0</v>
      </c>
      <c r="F275" s="31">
        <v>0</v>
      </c>
      <c r="G275" s="145">
        <v>0</v>
      </c>
      <c r="H275" s="145">
        <v>0</v>
      </c>
      <c r="I275" s="145"/>
      <c r="J275" s="203"/>
      <c r="L275" s="305"/>
      <c r="N275" s="251"/>
    </row>
    <row r="276" spans="1:14" s="144" customFormat="1" hidden="1" x14ac:dyDescent="0.3">
      <c r="A276" s="10">
        <v>5504</v>
      </c>
      <c r="B276" s="10" t="s">
        <v>111</v>
      </c>
      <c r="C276" s="99">
        <v>0</v>
      </c>
      <c r="D276" s="31">
        <v>-114</v>
      </c>
      <c r="E276" s="48">
        <v>0</v>
      </c>
      <c r="F276" s="31">
        <v>-19</v>
      </c>
      <c r="G276" s="145">
        <v>0</v>
      </c>
      <c r="H276" s="145">
        <v>0</v>
      </c>
      <c r="I276" s="145"/>
      <c r="J276" s="203"/>
      <c r="L276" s="305"/>
      <c r="N276" s="251"/>
    </row>
    <row r="277" spans="1:14" s="144" customFormat="1" hidden="1" x14ac:dyDescent="0.3">
      <c r="A277" s="10">
        <v>5511</v>
      </c>
      <c r="B277" s="10" t="s">
        <v>125</v>
      </c>
      <c r="C277" s="99">
        <v>0</v>
      </c>
      <c r="D277" s="31">
        <v>-1025</v>
      </c>
      <c r="E277" s="48">
        <v>0</v>
      </c>
      <c r="F277" s="31">
        <v>-849</v>
      </c>
      <c r="G277" s="145">
        <v>0</v>
      </c>
      <c r="H277" s="145">
        <v>0</v>
      </c>
      <c r="I277" s="145"/>
      <c r="J277" s="203"/>
      <c r="L277" s="305"/>
      <c r="N277" s="251"/>
    </row>
    <row r="278" spans="1:14" s="144" customFormat="1" hidden="1" x14ac:dyDescent="0.3">
      <c r="A278" s="10">
        <v>5513</v>
      </c>
      <c r="B278" s="10" t="s">
        <v>112</v>
      </c>
      <c r="C278" s="99">
        <v>0</v>
      </c>
      <c r="D278" s="31">
        <v>-439</v>
      </c>
      <c r="E278" s="48">
        <v>0</v>
      </c>
      <c r="F278" s="31">
        <v>-501</v>
      </c>
      <c r="G278" s="145">
        <v>0</v>
      </c>
      <c r="H278" s="145">
        <v>0</v>
      </c>
      <c r="I278" s="145"/>
      <c r="J278" s="203"/>
      <c r="L278" s="305"/>
      <c r="N278" s="251"/>
    </row>
    <row r="279" spans="1:14" s="144" customFormat="1" hidden="1" x14ac:dyDescent="0.3">
      <c r="A279" s="10">
        <v>5514</v>
      </c>
      <c r="B279" s="10" t="s">
        <v>113</v>
      </c>
      <c r="C279" s="99">
        <v>0</v>
      </c>
      <c r="D279" s="31">
        <v>-629</v>
      </c>
      <c r="E279" s="48">
        <v>0</v>
      </c>
      <c r="F279" s="31">
        <v>-592</v>
      </c>
      <c r="G279" s="145">
        <v>0</v>
      </c>
      <c r="H279" s="145">
        <v>0</v>
      </c>
      <c r="I279" s="145"/>
      <c r="J279" s="203"/>
      <c r="L279" s="305"/>
      <c r="N279" s="251"/>
    </row>
    <row r="280" spans="1:14" s="144" customFormat="1" hidden="1" x14ac:dyDescent="0.3">
      <c r="A280" s="10">
        <v>5515</v>
      </c>
      <c r="B280" s="10" t="s">
        <v>126</v>
      </c>
      <c r="C280" s="99">
        <v>0</v>
      </c>
      <c r="D280" s="31">
        <v>0</v>
      </c>
      <c r="E280" s="48">
        <v>0</v>
      </c>
      <c r="F280" s="31">
        <v>-172</v>
      </c>
      <c r="G280" s="145">
        <v>0</v>
      </c>
      <c r="H280" s="145">
        <v>0</v>
      </c>
      <c r="I280" s="145"/>
      <c r="J280" s="203"/>
      <c r="L280" s="305"/>
      <c r="N280" s="251"/>
    </row>
    <row r="281" spans="1:14" s="144" customFormat="1" hidden="1" x14ac:dyDescent="0.3">
      <c r="A281" s="10">
        <v>5523</v>
      </c>
      <c r="B281" s="10" t="s">
        <v>210</v>
      </c>
      <c r="C281" s="99">
        <v>0</v>
      </c>
      <c r="D281" s="31">
        <v>-1500</v>
      </c>
      <c r="E281" s="48">
        <v>0</v>
      </c>
      <c r="F281" s="31">
        <v>-1600</v>
      </c>
      <c r="G281" s="145">
        <v>0</v>
      </c>
      <c r="H281" s="145">
        <v>0</v>
      </c>
      <c r="I281" s="145"/>
      <c r="J281" s="203"/>
      <c r="L281" s="305"/>
      <c r="N281" s="251"/>
    </row>
    <row r="282" spans="1:14" hidden="1" x14ac:dyDescent="0.3">
      <c r="A282" s="45" t="s">
        <v>215</v>
      </c>
      <c r="B282" s="45" t="s">
        <v>216</v>
      </c>
      <c r="C282" s="46">
        <f t="shared" ref="C282:F282" si="82">SUM(C283:C291)</f>
        <v>0</v>
      </c>
      <c r="D282" s="46">
        <f t="shared" si="82"/>
        <v>-16776</v>
      </c>
      <c r="E282" s="46">
        <f t="shared" si="82"/>
        <v>0</v>
      </c>
      <c r="F282" s="46">
        <f t="shared" si="82"/>
        <v>-11564</v>
      </c>
      <c r="G282" s="46">
        <f t="shared" ref="G282" si="83">SUM(G283:G291)</f>
        <v>0</v>
      </c>
      <c r="H282" s="46">
        <f t="shared" ref="H282" si="84">SUM(H283:H291)</f>
        <v>0</v>
      </c>
      <c r="I282" s="46"/>
      <c r="J282" s="202"/>
    </row>
    <row r="283" spans="1:14" s="144" customFormat="1" hidden="1" x14ac:dyDescent="0.3">
      <c r="A283" s="47">
        <v>5002</v>
      </c>
      <c r="B283" s="47" t="s">
        <v>172</v>
      </c>
      <c r="C283" s="100">
        <v>0</v>
      </c>
      <c r="D283" s="48">
        <v>-6255</v>
      </c>
      <c r="E283" s="48">
        <v>0</v>
      </c>
      <c r="F283" s="48">
        <v>-3009</v>
      </c>
      <c r="G283" s="145">
        <v>0</v>
      </c>
      <c r="H283" s="145">
        <v>0</v>
      </c>
      <c r="I283" s="145"/>
      <c r="J283" s="203"/>
      <c r="L283" s="305"/>
      <c r="N283" s="251"/>
    </row>
    <row r="284" spans="1:14" s="144" customFormat="1" hidden="1" x14ac:dyDescent="0.3">
      <c r="A284" s="10">
        <v>506</v>
      </c>
      <c r="B284" s="10" t="s">
        <v>108</v>
      </c>
      <c r="C284" s="100">
        <v>0</v>
      </c>
      <c r="D284" s="31">
        <v>-2234</v>
      </c>
      <c r="E284" s="48">
        <v>0</v>
      </c>
      <c r="F284" s="48">
        <v>-1568</v>
      </c>
      <c r="G284" s="145">
        <v>0</v>
      </c>
      <c r="H284" s="145">
        <v>0</v>
      </c>
      <c r="I284" s="145"/>
      <c r="J284" s="203"/>
      <c r="L284" s="305"/>
      <c r="N284" s="251"/>
    </row>
    <row r="285" spans="1:14" s="144" customFormat="1" hidden="1" x14ac:dyDescent="0.3">
      <c r="A285" s="10">
        <v>5500</v>
      </c>
      <c r="B285" s="10" t="s">
        <v>109</v>
      </c>
      <c r="C285" s="100">
        <v>0</v>
      </c>
      <c r="D285" s="31">
        <v>-1160</v>
      </c>
      <c r="E285" s="48">
        <v>0</v>
      </c>
      <c r="F285" s="48">
        <v>-803</v>
      </c>
      <c r="G285" s="145">
        <v>0</v>
      </c>
      <c r="H285" s="145">
        <v>0</v>
      </c>
      <c r="I285" s="145"/>
      <c r="J285" s="203"/>
      <c r="L285" s="305"/>
      <c r="N285" s="251"/>
    </row>
    <row r="286" spans="1:14" s="144" customFormat="1" hidden="1" x14ac:dyDescent="0.3">
      <c r="A286" s="47">
        <v>5504</v>
      </c>
      <c r="B286" s="47" t="s">
        <v>111</v>
      </c>
      <c r="C286" s="100">
        <v>0</v>
      </c>
      <c r="D286" s="31">
        <v>-13</v>
      </c>
      <c r="E286" s="48">
        <v>0</v>
      </c>
      <c r="F286" s="48">
        <v>-18</v>
      </c>
      <c r="G286" s="145">
        <v>0</v>
      </c>
      <c r="H286" s="145">
        <v>0</v>
      </c>
      <c r="I286" s="145"/>
      <c r="J286" s="203"/>
      <c r="L286" s="305"/>
      <c r="N286" s="251"/>
    </row>
    <row r="287" spans="1:14" s="144" customFormat="1" hidden="1" x14ac:dyDescent="0.3">
      <c r="A287" s="10">
        <v>5511</v>
      </c>
      <c r="B287" s="10" t="s">
        <v>125</v>
      </c>
      <c r="C287" s="100">
        <v>0</v>
      </c>
      <c r="D287" s="31">
        <v>-5187</v>
      </c>
      <c r="E287" s="48">
        <v>0</v>
      </c>
      <c r="F287" s="48">
        <v>-3757</v>
      </c>
      <c r="G287" s="145">
        <v>0</v>
      </c>
      <c r="H287" s="145">
        <v>0</v>
      </c>
      <c r="I287" s="145"/>
      <c r="J287" s="203"/>
      <c r="L287" s="305"/>
      <c r="N287" s="251"/>
    </row>
    <row r="288" spans="1:14" s="144" customFormat="1" hidden="1" x14ac:dyDescent="0.3">
      <c r="A288" s="10">
        <v>5513</v>
      </c>
      <c r="B288" s="10" t="s">
        <v>112</v>
      </c>
      <c r="C288" s="100">
        <v>0</v>
      </c>
      <c r="D288" s="31">
        <v>0</v>
      </c>
      <c r="E288" s="48">
        <v>0</v>
      </c>
      <c r="F288" s="48">
        <v>-125</v>
      </c>
      <c r="G288" s="145">
        <v>0</v>
      </c>
      <c r="H288" s="145">
        <v>0</v>
      </c>
      <c r="I288" s="145"/>
      <c r="J288" s="203"/>
      <c r="L288" s="305"/>
      <c r="N288" s="251"/>
    </row>
    <row r="289" spans="1:14" s="144" customFormat="1" hidden="1" x14ac:dyDescent="0.3">
      <c r="A289" s="10">
        <v>5514</v>
      </c>
      <c r="B289" s="10" t="s">
        <v>113</v>
      </c>
      <c r="C289" s="100">
        <v>0</v>
      </c>
      <c r="D289" s="31">
        <v>-506</v>
      </c>
      <c r="E289" s="48">
        <v>0</v>
      </c>
      <c r="F289" s="48">
        <v>-698</v>
      </c>
      <c r="G289" s="145">
        <v>0</v>
      </c>
      <c r="H289" s="145">
        <v>0</v>
      </c>
      <c r="I289" s="145"/>
      <c r="J289" s="203"/>
      <c r="L289" s="305"/>
      <c r="N289" s="251"/>
    </row>
    <row r="290" spans="1:14" s="144" customFormat="1" hidden="1" x14ac:dyDescent="0.3">
      <c r="A290" s="10">
        <v>5515</v>
      </c>
      <c r="B290" s="10" t="s">
        <v>126</v>
      </c>
      <c r="C290" s="100">
        <v>0</v>
      </c>
      <c r="D290" s="31">
        <v>-71</v>
      </c>
      <c r="E290" s="48">
        <v>0</v>
      </c>
      <c r="F290" s="48">
        <v>-186</v>
      </c>
      <c r="G290" s="145">
        <v>0</v>
      </c>
      <c r="H290" s="145">
        <v>0</v>
      </c>
      <c r="I290" s="145"/>
      <c r="J290" s="203"/>
      <c r="L290" s="305"/>
      <c r="N290" s="251"/>
    </row>
    <row r="291" spans="1:14" s="144" customFormat="1" hidden="1" x14ac:dyDescent="0.3">
      <c r="A291" s="10">
        <v>5523</v>
      </c>
      <c r="B291" s="10" t="s">
        <v>210</v>
      </c>
      <c r="C291" s="100">
        <v>0</v>
      </c>
      <c r="D291" s="31">
        <v>-1350</v>
      </c>
      <c r="E291" s="48">
        <v>0</v>
      </c>
      <c r="F291" s="48">
        <v>-1400</v>
      </c>
      <c r="G291" s="145">
        <v>0</v>
      </c>
      <c r="H291" s="145">
        <v>0</v>
      </c>
      <c r="I291" s="145"/>
      <c r="J291" s="203"/>
      <c r="L291" s="305"/>
      <c r="N291" s="251"/>
    </row>
    <row r="292" spans="1:14" hidden="1" x14ac:dyDescent="0.3">
      <c r="A292" s="45" t="s">
        <v>217</v>
      </c>
      <c r="B292" s="45" t="s">
        <v>218</v>
      </c>
      <c r="C292" s="46">
        <f t="shared" ref="C292:F292" si="85">SUM(C293:C301)</f>
        <v>0</v>
      </c>
      <c r="D292" s="46">
        <f t="shared" si="85"/>
        <v>-11086</v>
      </c>
      <c r="E292" s="46">
        <f>SUM(E293:E301)</f>
        <v>0</v>
      </c>
      <c r="F292" s="46">
        <f t="shared" si="85"/>
        <v>-11787</v>
      </c>
      <c r="G292" s="46">
        <f>SUM(G293:G301)</f>
        <v>0</v>
      </c>
      <c r="H292" s="46">
        <f>SUM(H293:H301)</f>
        <v>0</v>
      </c>
      <c r="I292" s="46"/>
      <c r="J292" s="202"/>
    </row>
    <row r="293" spans="1:14" s="144" customFormat="1" hidden="1" x14ac:dyDescent="0.3">
      <c r="A293" s="10">
        <v>5002</v>
      </c>
      <c r="B293" s="10" t="s">
        <v>172</v>
      </c>
      <c r="C293" s="99">
        <v>0</v>
      </c>
      <c r="D293" s="31">
        <v>-5610</v>
      </c>
      <c r="E293" s="48">
        <v>0</v>
      </c>
      <c r="F293" s="31">
        <v>-5938</v>
      </c>
      <c r="G293" s="145">
        <v>0</v>
      </c>
      <c r="H293" s="145">
        <v>0</v>
      </c>
      <c r="I293" s="145"/>
      <c r="J293" s="203"/>
      <c r="L293" s="305"/>
      <c r="N293" s="251"/>
    </row>
    <row r="294" spans="1:14" s="144" customFormat="1" hidden="1" x14ac:dyDescent="0.3">
      <c r="A294" s="10">
        <v>506</v>
      </c>
      <c r="B294" s="10" t="s">
        <v>108</v>
      </c>
      <c r="C294" s="99">
        <v>0</v>
      </c>
      <c r="D294" s="31">
        <v>-1897</v>
      </c>
      <c r="E294" s="48">
        <v>0</v>
      </c>
      <c r="F294" s="31">
        <v>-2027</v>
      </c>
      <c r="G294" s="145">
        <v>0</v>
      </c>
      <c r="H294" s="145">
        <v>0</v>
      </c>
      <c r="I294" s="145"/>
      <c r="J294" s="203"/>
      <c r="L294" s="305"/>
      <c r="N294" s="251"/>
    </row>
    <row r="295" spans="1:14" s="144" customFormat="1" hidden="1" x14ac:dyDescent="0.3">
      <c r="A295" s="10">
        <v>5500</v>
      </c>
      <c r="B295" s="10" t="s">
        <v>109</v>
      </c>
      <c r="C295" s="99">
        <v>0</v>
      </c>
      <c r="D295" s="31">
        <v>-806</v>
      </c>
      <c r="E295" s="48">
        <v>0</v>
      </c>
      <c r="F295" s="31">
        <v>-948</v>
      </c>
      <c r="G295" s="145">
        <v>0</v>
      </c>
      <c r="H295" s="145">
        <v>0</v>
      </c>
      <c r="I295" s="145"/>
      <c r="J295" s="203"/>
      <c r="L295" s="305"/>
      <c r="N295" s="251"/>
    </row>
    <row r="296" spans="1:14" s="144" customFormat="1" hidden="1" x14ac:dyDescent="0.3">
      <c r="A296" s="10">
        <v>5504</v>
      </c>
      <c r="B296" s="10" t="s">
        <v>111</v>
      </c>
      <c r="C296" s="99">
        <v>0</v>
      </c>
      <c r="D296" s="31">
        <v>-19</v>
      </c>
      <c r="E296" s="48">
        <v>0</v>
      </c>
      <c r="F296" s="31">
        <v>-24</v>
      </c>
      <c r="G296" s="145">
        <v>0</v>
      </c>
      <c r="H296" s="145">
        <v>0</v>
      </c>
      <c r="I296" s="145"/>
      <c r="J296" s="203"/>
      <c r="L296" s="305"/>
      <c r="N296" s="251"/>
    </row>
    <row r="297" spans="1:14" s="144" customFormat="1" hidden="1" x14ac:dyDescent="0.3">
      <c r="A297" s="10">
        <v>5511</v>
      </c>
      <c r="B297" s="10" t="s">
        <v>125</v>
      </c>
      <c r="C297" s="99">
        <v>0</v>
      </c>
      <c r="D297" s="31">
        <v>-785</v>
      </c>
      <c r="E297" s="48">
        <v>0</v>
      </c>
      <c r="F297" s="31">
        <v>-834</v>
      </c>
      <c r="G297" s="145">
        <v>0</v>
      </c>
      <c r="H297" s="145">
        <v>0</v>
      </c>
      <c r="I297" s="145"/>
      <c r="J297" s="203"/>
      <c r="L297" s="305"/>
      <c r="N297" s="251"/>
    </row>
    <row r="298" spans="1:14" s="144" customFormat="1" hidden="1" x14ac:dyDescent="0.3">
      <c r="A298" s="10">
        <v>5513</v>
      </c>
      <c r="B298" s="10" t="s">
        <v>112</v>
      </c>
      <c r="C298" s="99">
        <v>0</v>
      </c>
      <c r="D298" s="31">
        <v>0</v>
      </c>
      <c r="E298" s="48">
        <v>0</v>
      </c>
      <c r="F298" s="31">
        <v>-4</v>
      </c>
      <c r="G298" s="145">
        <v>0</v>
      </c>
      <c r="H298" s="145">
        <v>0</v>
      </c>
      <c r="I298" s="145"/>
      <c r="J298" s="203"/>
      <c r="L298" s="305"/>
      <c r="N298" s="251"/>
    </row>
    <row r="299" spans="1:14" s="144" customFormat="1" hidden="1" x14ac:dyDescent="0.3">
      <c r="A299" s="10">
        <v>5514</v>
      </c>
      <c r="B299" s="10" t="s">
        <v>113</v>
      </c>
      <c r="C299" s="99">
        <v>0</v>
      </c>
      <c r="D299" s="31">
        <v>-559</v>
      </c>
      <c r="E299" s="48">
        <v>0</v>
      </c>
      <c r="F299" s="31">
        <v>-512</v>
      </c>
      <c r="G299" s="145">
        <v>0</v>
      </c>
      <c r="H299" s="145">
        <v>0</v>
      </c>
      <c r="I299" s="145"/>
      <c r="J299" s="203"/>
      <c r="L299" s="305"/>
      <c r="N299" s="251"/>
    </row>
    <row r="300" spans="1:14" s="144" customFormat="1" hidden="1" x14ac:dyDescent="0.3">
      <c r="A300" s="10">
        <v>5515</v>
      </c>
      <c r="B300" s="10" t="s">
        <v>126</v>
      </c>
      <c r="C300" s="99">
        <v>0</v>
      </c>
      <c r="D300" s="31">
        <v>-110</v>
      </c>
      <c r="E300" s="48">
        <v>0</v>
      </c>
      <c r="F300" s="31">
        <v>0</v>
      </c>
      <c r="G300" s="145">
        <v>0</v>
      </c>
      <c r="H300" s="145">
        <v>0</v>
      </c>
      <c r="I300" s="145"/>
      <c r="J300" s="203"/>
      <c r="L300" s="305"/>
      <c r="N300" s="251"/>
    </row>
    <row r="301" spans="1:14" s="144" customFormat="1" hidden="1" x14ac:dyDescent="0.3">
      <c r="A301" s="10">
        <v>5523</v>
      </c>
      <c r="B301" s="10" t="s">
        <v>210</v>
      </c>
      <c r="C301" s="99">
        <v>0</v>
      </c>
      <c r="D301" s="31">
        <v>-1300</v>
      </c>
      <c r="E301" s="48">
        <v>0</v>
      </c>
      <c r="F301" s="31">
        <v>-1500</v>
      </c>
      <c r="G301" s="145">
        <v>0</v>
      </c>
      <c r="H301" s="145">
        <v>0</v>
      </c>
      <c r="I301" s="145"/>
      <c r="J301" s="203"/>
      <c r="L301" s="305"/>
      <c r="N301" s="251"/>
    </row>
    <row r="302" spans="1:14" x14ac:dyDescent="0.3">
      <c r="A302" s="45">
        <v>8201</v>
      </c>
      <c r="B302" s="45" t="s">
        <v>219</v>
      </c>
      <c r="C302" s="46">
        <f t="shared" ref="C302:F302" si="86">SUM(C303:C314)</f>
        <v>-53918</v>
      </c>
      <c r="D302" s="46">
        <f t="shared" si="86"/>
        <v>0</v>
      </c>
      <c r="E302" s="46">
        <f t="shared" si="86"/>
        <v>-53662</v>
      </c>
      <c r="F302" s="46">
        <f t="shared" si="86"/>
        <v>0</v>
      </c>
      <c r="G302" s="46">
        <f>SUM(G305:G314)+G303</f>
        <v>-129893</v>
      </c>
      <c r="H302" s="46">
        <f>SUM(H305:H314)+H303</f>
        <v>-143622</v>
      </c>
      <c r="I302" s="46">
        <f>SUM(I305:I314)+I303</f>
        <v>-136113.63</v>
      </c>
      <c r="J302" s="46">
        <f>SUM(J305:J314)+J303</f>
        <v>-144329</v>
      </c>
    </row>
    <row r="303" spans="1:14" s="144" customFormat="1" x14ac:dyDescent="0.3">
      <c r="A303" s="10">
        <v>5002</v>
      </c>
      <c r="B303" s="10" t="s">
        <v>172</v>
      </c>
      <c r="C303" s="99">
        <v>-21230</v>
      </c>
      <c r="D303" s="99">
        <v>0</v>
      </c>
      <c r="E303" s="48">
        <v>-21975</v>
      </c>
      <c r="F303" s="31">
        <v>0</v>
      </c>
      <c r="G303" s="145">
        <v>-56896</v>
      </c>
      <c r="H303" s="145">
        <v>-61750</v>
      </c>
      <c r="I303" s="145">
        <v>-60162.77</v>
      </c>
      <c r="J303" s="203">
        <v>-60550</v>
      </c>
      <c r="L303" s="305"/>
      <c r="N303" s="251"/>
    </row>
    <row r="304" spans="1:14" s="144" customFormat="1" x14ac:dyDescent="0.3">
      <c r="A304" s="155" t="s">
        <v>122</v>
      </c>
      <c r="B304" s="156" t="s">
        <v>220</v>
      </c>
      <c r="C304" s="159">
        <v>0</v>
      </c>
      <c r="D304" s="159">
        <v>0</v>
      </c>
      <c r="E304" s="159">
        <v>0</v>
      </c>
      <c r="F304" s="159">
        <v>0</v>
      </c>
      <c r="G304" s="163">
        <v>-480</v>
      </c>
      <c r="H304" s="163">
        <v>-1210</v>
      </c>
      <c r="I304" s="163"/>
      <c r="J304" s="203">
        <v>-1200</v>
      </c>
      <c r="L304" s="305"/>
      <c r="N304" s="251"/>
    </row>
    <row r="305" spans="1:14" s="144" customFormat="1" x14ac:dyDescent="0.3">
      <c r="A305" s="10">
        <v>506</v>
      </c>
      <c r="B305" s="10" t="s">
        <v>108</v>
      </c>
      <c r="C305" s="99">
        <v>-6939</v>
      </c>
      <c r="D305" s="99">
        <v>0</v>
      </c>
      <c r="E305" s="48">
        <v>-7134</v>
      </c>
      <c r="F305" s="31">
        <v>0</v>
      </c>
      <c r="G305" s="145">
        <v>-19749</v>
      </c>
      <c r="H305" s="145">
        <v>-20872</v>
      </c>
      <c r="I305" s="145">
        <v>-20403.490000000002</v>
      </c>
      <c r="J305" s="203">
        <v>-20466</v>
      </c>
      <c r="K305" s="347"/>
      <c r="L305" s="328"/>
      <c r="N305" s="251"/>
    </row>
    <row r="306" spans="1:14" s="144" customFormat="1" x14ac:dyDescent="0.3">
      <c r="A306" s="10">
        <v>5500</v>
      </c>
      <c r="B306" s="10" t="s">
        <v>109</v>
      </c>
      <c r="C306" s="99">
        <v>-691</v>
      </c>
      <c r="D306" s="99">
        <v>0</v>
      </c>
      <c r="E306" s="48">
        <v>-738</v>
      </c>
      <c r="F306" s="31">
        <v>0</v>
      </c>
      <c r="G306" s="145">
        <v>-2924</v>
      </c>
      <c r="H306" s="145">
        <v>-2000</v>
      </c>
      <c r="I306" s="145">
        <v>-1497.69</v>
      </c>
      <c r="J306" s="203">
        <v>-2000</v>
      </c>
      <c r="L306" s="305"/>
      <c r="N306" s="251"/>
    </row>
    <row r="307" spans="1:14" s="144" customFormat="1" x14ac:dyDescent="0.3">
      <c r="A307" s="10">
        <v>5504</v>
      </c>
      <c r="B307" s="10" t="s">
        <v>111</v>
      </c>
      <c r="C307" s="99">
        <v>-296</v>
      </c>
      <c r="D307" s="99">
        <v>0</v>
      </c>
      <c r="E307" s="48">
        <v>-551</v>
      </c>
      <c r="F307" s="31">
        <v>0</v>
      </c>
      <c r="G307" s="145">
        <v>-616</v>
      </c>
      <c r="H307" s="145">
        <v>-1500</v>
      </c>
      <c r="I307" s="145">
        <v>-756.66</v>
      </c>
      <c r="J307" s="203">
        <v>-1500</v>
      </c>
      <c r="L307" s="305"/>
      <c r="N307" s="251"/>
    </row>
    <row r="308" spans="1:14" s="144" customFormat="1" x14ac:dyDescent="0.3">
      <c r="A308" s="49" t="str">
        <f>'[1]Haljala eelarve'!A212</f>
        <v>5511</v>
      </c>
      <c r="B308" s="10" t="s">
        <v>125</v>
      </c>
      <c r="C308" s="99">
        <v>-3231</v>
      </c>
      <c r="D308" s="99">
        <v>0</v>
      </c>
      <c r="E308" s="48">
        <v>-3184</v>
      </c>
      <c r="F308" s="31">
        <v>0</v>
      </c>
      <c r="G308" s="145">
        <v>-8592</v>
      </c>
      <c r="H308" s="145">
        <v>-19500</v>
      </c>
      <c r="I308" s="145">
        <v>-9493.8799999999992</v>
      </c>
      <c r="J308" s="203">
        <v>-19313</v>
      </c>
      <c r="L308" s="305"/>
      <c r="N308" s="251"/>
    </row>
    <row r="309" spans="1:14" s="144" customFormat="1" x14ac:dyDescent="0.3">
      <c r="A309" s="49" t="str">
        <f>'[1]Haljala eelarve'!A213</f>
        <v>5513</v>
      </c>
      <c r="B309" s="10" t="s">
        <v>112</v>
      </c>
      <c r="C309" s="99">
        <v>-207</v>
      </c>
      <c r="D309" s="99">
        <v>0</v>
      </c>
      <c r="E309" s="48">
        <v>-256</v>
      </c>
      <c r="F309" s="31">
        <v>0</v>
      </c>
      <c r="G309" s="145">
        <v>-1363</v>
      </c>
      <c r="H309" s="145">
        <v>-2000</v>
      </c>
      <c r="I309" s="145">
        <v>-3295.5</v>
      </c>
      <c r="J309" s="203">
        <v>-2500</v>
      </c>
      <c r="L309" s="305"/>
      <c r="N309" s="251"/>
    </row>
    <row r="310" spans="1:14" s="144" customFormat="1" x14ac:dyDescent="0.3">
      <c r="A310" s="49" t="str">
        <f>'[1]Haljala eelarve'!A214</f>
        <v>5514</v>
      </c>
      <c r="B310" s="10" t="s">
        <v>113</v>
      </c>
      <c r="C310" s="99">
        <v>-2802</v>
      </c>
      <c r="D310" s="99">
        <v>0</v>
      </c>
      <c r="E310" s="48">
        <v>-2662</v>
      </c>
      <c r="F310" s="31">
        <v>0</v>
      </c>
      <c r="G310" s="145">
        <v>-5413</v>
      </c>
      <c r="H310" s="145">
        <v>-5000</v>
      </c>
      <c r="I310" s="145">
        <v>-9070.34</v>
      </c>
      <c r="J310" s="283">
        <v>-5000</v>
      </c>
      <c r="L310" s="305"/>
      <c r="N310" s="251"/>
    </row>
    <row r="311" spans="1:14" s="144" customFormat="1" x14ac:dyDescent="0.3">
      <c r="A311" s="49" t="str">
        <f>'[1]Haljala eelarve'!A215</f>
        <v>5515</v>
      </c>
      <c r="B311" s="10" t="s">
        <v>126</v>
      </c>
      <c r="C311" s="99">
        <v>-135</v>
      </c>
      <c r="D311" s="99">
        <v>0</v>
      </c>
      <c r="E311" s="48">
        <v>-124</v>
      </c>
      <c r="F311" s="31">
        <v>0</v>
      </c>
      <c r="G311" s="145">
        <v>-1959</v>
      </c>
      <c r="H311" s="145">
        <v>-1000</v>
      </c>
      <c r="I311" s="145">
        <v>-504.94</v>
      </c>
      <c r="J311" s="203">
        <v>-1000</v>
      </c>
      <c r="L311" s="305"/>
      <c r="N311" s="251"/>
    </row>
    <row r="312" spans="1:14" s="144" customFormat="1" x14ac:dyDescent="0.3">
      <c r="A312" s="49" t="s">
        <v>221</v>
      </c>
      <c r="B312" s="10" t="s">
        <v>201</v>
      </c>
      <c r="C312" s="99"/>
      <c r="D312" s="99"/>
      <c r="E312" s="48"/>
      <c r="F312" s="31"/>
      <c r="G312" s="145">
        <v>-195</v>
      </c>
      <c r="H312" s="145">
        <v>-500</v>
      </c>
      <c r="I312" s="145">
        <v>-439</v>
      </c>
      <c r="J312" s="203">
        <v>-500</v>
      </c>
      <c r="L312" s="305"/>
      <c r="N312" s="251"/>
    </row>
    <row r="313" spans="1:14" s="144" customFormat="1" x14ac:dyDescent="0.3">
      <c r="A313" s="49" t="str">
        <f>'[1]Haljala eelarve'!A216</f>
        <v>5523</v>
      </c>
      <c r="B313" s="10" t="s">
        <v>210</v>
      </c>
      <c r="C313" s="99">
        <v>-17789</v>
      </c>
      <c r="D313" s="99">
        <v>0</v>
      </c>
      <c r="E313" s="48">
        <v>-16329</v>
      </c>
      <c r="F313" s="31">
        <v>0</v>
      </c>
      <c r="G313" s="145">
        <v>-31242</v>
      </c>
      <c r="H313" s="145">
        <v>-28500</v>
      </c>
      <c r="I313" s="145">
        <v>-29265.63</v>
      </c>
      <c r="J313" s="203">
        <v>-30000</v>
      </c>
      <c r="L313" s="305"/>
      <c r="N313" s="251"/>
    </row>
    <row r="314" spans="1:14" s="144" customFormat="1" x14ac:dyDescent="0.3">
      <c r="A314" s="49" t="str">
        <f>'[1]Haljala eelarve'!A217</f>
        <v>5525</v>
      </c>
      <c r="B314" s="10" t="s">
        <v>199</v>
      </c>
      <c r="C314" s="99">
        <v>-598</v>
      </c>
      <c r="D314" s="99">
        <v>0</v>
      </c>
      <c r="E314" s="48">
        <v>-709</v>
      </c>
      <c r="F314" s="31">
        <v>0</v>
      </c>
      <c r="G314" s="145">
        <v>-944</v>
      </c>
      <c r="H314" s="145">
        <v>-1000</v>
      </c>
      <c r="I314" s="145">
        <v>-1223.73</v>
      </c>
      <c r="J314" s="203">
        <v>-1500</v>
      </c>
      <c r="K314" s="326"/>
      <c r="L314" s="327"/>
      <c r="N314" s="251"/>
    </row>
    <row r="315" spans="1:14" hidden="1" x14ac:dyDescent="0.3">
      <c r="A315" s="45" t="s">
        <v>222</v>
      </c>
      <c r="B315" s="45" t="s">
        <v>223</v>
      </c>
      <c r="C315" s="46">
        <f t="shared" ref="C315:F315" si="87">C316</f>
        <v>0</v>
      </c>
      <c r="D315" s="46">
        <f t="shared" si="87"/>
        <v>-1279</v>
      </c>
      <c r="E315" s="46">
        <f t="shared" si="87"/>
        <v>0</v>
      </c>
      <c r="F315" s="46">
        <f t="shared" si="87"/>
        <v>-1445</v>
      </c>
      <c r="G315" s="46">
        <f t="shared" ref="G315:H315" si="88">G316</f>
        <v>0</v>
      </c>
      <c r="H315" s="46">
        <f t="shared" si="88"/>
        <v>0</v>
      </c>
      <c r="I315" s="46"/>
      <c r="J315" s="230">
        <f>J316</f>
        <v>0</v>
      </c>
    </row>
    <row r="316" spans="1:14" s="144" customFormat="1" hidden="1" x14ac:dyDescent="0.3">
      <c r="A316" s="10">
        <v>5511</v>
      </c>
      <c r="B316" s="10" t="s">
        <v>125</v>
      </c>
      <c r="C316" s="99">
        <v>0</v>
      </c>
      <c r="D316" s="31">
        <v>-1279</v>
      </c>
      <c r="E316" s="48">
        <v>0</v>
      </c>
      <c r="F316" s="31">
        <v>-1445</v>
      </c>
      <c r="G316" s="145">
        <v>0</v>
      </c>
      <c r="H316" s="145"/>
      <c r="I316" s="145"/>
      <c r="J316" s="203"/>
      <c r="L316" s="305"/>
      <c r="N316" s="251"/>
    </row>
    <row r="317" spans="1:14" x14ac:dyDescent="0.3">
      <c r="A317" s="45" t="s">
        <v>224</v>
      </c>
      <c r="B317" s="45" t="s">
        <v>225</v>
      </c>
      <c r="C317" s="46">
        <f t="shared" ref="C317:F317" si="89">SUM(C318:C330)</f>
        <v>-109983</v>
      </c>
      <c r="D317" s="46">
        <f t="shared" si="89"/>
        <v>0</v>
      </c>
      <c r="E317" s="46">
        <f t="shared" si="89"/>
        <v>-108202</v>
      </c>
      <c r="F317" s="46">
        <f t="shared" si="89"/>
        <v>0</v>
      </c>
      <c r="G317" s="46">
        <f>SUM(G320:G330)+G318</f>
        <v>-120082</v>
      </c>
      <c r="H317" s="46">
        <f>SUM(H320:H330)+H318</f>
        <v>-123311</v>
      </c>
      <c r="I317" s="46">
        <f>SUM(I320:I330)+I318</f>
        <v>-116168.04000000001</v>
      </c>
      <c r="J317" s="46">
        <f>SUM(J320:J330)+J318</f>
        <v>-143021</v>
      </c>
      <c r="K317" s="221"/>
    </row>
    <row r="318" spans="1:14" s="144" customFormat="1" x14ac:dyDescent="0.3">
      <c r="A318" s="49" t="s">
        <v>226</v>
      </c>
      <c r="B318" s="10" t="s">
        <v>172</v>
      </c>
      <c r="C318" s="99">
        <v>-25532</v>
      </c>
      <c r="D318" s="99">
        <v>0</v>
      </c>
      <c r="E318" s="48">
        <v>-29434</v>
      </c>
      <c r="F318" s="31"/>
      <c r="G318" s="145">
        <v>-34174</v>
      </c>
      <c r="H318" s="145">
        <v>-32068</v>
      </c>
      <c r="I318" s="145">
        <v>-31922.9</v>
      </c>
      <c r="J318" s="203">
        <v>-37480</v>
      </c>
      <c r="K318" s="116"/>
      <c r="L318" s="305"/>
      <c r="N318" s="251"/>
    </row>
    <row r="319" spans="1:14" s="161" customFormat="1" ht="13" x14ac:dyDescent="0.3">
      <c r="A319" s="162" t="s">
        <v>122</v>
      </c>
      <c r="B319" s="156" t="s">
        <v>227</v>
      </c>
      <c r="C319" s="157"/>
      <c r="D319" s="157"/>
      <c r="E319" s="158"/>
      <c r="F319" s="159"/>
      <c r="G319" s="163">
        <v>-884</v>
      </c>
      <c r="H319" s="163">
        <v>-629</v>
      </c>
      <c r="I319" s="163"/>
      <c r="J319" s="203">
        <v>-800</v>
      </c>
      <c r="L319" s="304"/>
      <c r="N319" s="249"/>
    </row>
    <row r="320" spans="1:14" s="144" customFormat="1" x14ac:dyDescent="0.3">
      <c r="A320" s="49" t="s">
        <v>228</v>
      </c>
      <c r="B320" s="10" t="s">
        <v>123</v>
      </c>
      <c r="C320" s="99">
        <v>-5839</v>
      </c>
      <c r="D320" s="99">
        <v>0</v>
      </c>
      <c r="E320" s="48">
        <v>-6665</v>
      </c>
      <c r="F320" s="31"/>
      <c r="G320" s="145">
        <v>-4681</v>
      </c>
      <c r="H320" s="145">
        <v>-8000</v>
      </c>
      <c r="I320" s="145">
        <v>-7342</v>
      </c>
      <c r="J320" s="203">
        <v>-8500</v>
      </c>
      <c r="L320" s="305"/>
      <c r="N320" s="251"/>
    </row>
    <row r="321" spans="1:14" s="144" customFormat="1" x14ac:dyDescent="0.3">
      <c r="A321" s="49" t="s">
        <v>229</v>
      </c>
      <c r="B321" s="10" t="s">
        <v>108</v>
      </c>
      <c r="C321" s="99">
        <v>-10772</v>
      </c>
      <c r="D321" s="99">
        <v>0</v>
      </c>
      <c r="E321" s="48">
        <v>-11263</v>
      </c>
      <c r="F321" s="31"/>
      <c r="G321" s="145">
        <v>-14144</v>
      </c>
      <c r="H321" s="145">
        <v>-13543</v>
      </c>
      <c r="I321" s="145">
        <v>-13271.53</v>
      </c>
      <c r="J321" s="203">
        <v>-15541</v>
      </c>
      <c r="K321" s="296"/>
      <c r="L321" s="328"/>
      <c r="N321" s="251"/>
    </row>
    <row r="322" spans="1:14" s="144" customFormat="1" x14ac:dyDescent="0.3">
      <c r="A322" s="49" t="s">
        <v>230</v>
      </c>
      <c r="B322" s="10" t="s">
        <v>109</v>
      </c>
      <c r="C322" s="99">
        <v>-851</v>
      </c>
      <c r="D322" s="99">
        <v>0</v>
      </c>
      <c r="E322" s="48">
        <v>-723</v>
      </c>
      <c r="F322" s="31"/>
      <c r="G322" s="145">
        <v>-527</v>
      </c>
      <c r="H322" s="145">
        <v>-1000</v>
      </c>
      <c r="I322" s="145">
        <v>-808.18</v>
      </c>
      <c r="J322" s="203">
        <v>-1200</v>
      </c>
      <c r="L322" s="305"/>
      <c r="N322" s="251"/>
    </row>
    <row r="323" spans="1:14" s="144" customFormat="1" x14ac:dyDescent="0.3">
      <c r="A323" s="49" t="s">
        <v>231</v>
      </c>
      <c r="B323" s="10" t="s">
        <v>124</v>
      </c>
      <c r="C323" s="99">
        <v>-296</v>
      </c>
      <c r="D323" s="99">
        <v>0</v>
      </c>
      <c r="E323" s="48">
        <v>-175</v>
      </c>
      <c r="F323" s="31"/>
      <c r="G323" s="145">
        <v>-140</v>
      </c>
      <c r="H323" s="145">
        <v>-500</v>
      </c>
      <c r="I323" s="145"/>
      <c r="J323" s="203">
        <v>-500</v>
      </c>
      <c r="L323" s="305"/>
      <c r="N323" s="251"/>
    </row>
    <row r="324" spans="1:14" s="144" customFormat="1" x14ac:dyDescent="0.3">
      <c r="A324" s="49" t="s">
        <v>232</v>
      </c>
      <c r="B324" s="10" t="s">
        <v>111</v>
      </c>
      <c r="C324" s="99">
        <v>-342</v>
      </c>
      <c r="D324" s="99">
        <v>0</v>
      </c>
      <c r="E324" s="48">
        <v>0</v>
      </c>
      <c r="F324" s="31"/>
      <c r="G324" s="145">
        <v>-220</v>
      </c>
      <c r="H324" s="145">
        <v>-500</v>
      </c>
      <c r="I324" s="145"/>
      <c r="J324" s="203">
        <v>-500</v>
      </c>
      <c r="L324" s="305"/>
      <c r="N324" s="251"/>
    </row>
    <row r="325" spans="1:14" s="144" customFormat="1" x14ac:dyDescent="0.3">
      <c r="A325" s="49" t="s">
        <v>233</v>
      </c>
      <c r="B325" s="10" t="s">
        <v>125</v>
      </c>
      <c r="C325" s="99">
        <v>-50970</v>
      </c>
      <c r="D325" s="99">
        <v>0</v>
      </c>
      <c r="E325" s="48">
        <v>-44674</v>
      </c>
      <c r="F325" s="31"/>
      <c r="G325" s="145">
        <v>-48925</v>
      </c>
      <c r="H325" s="145">
        <v>-45000</v>
      </c>
      <c r="I325" s="145">
        <v>-42463.93</v>
      </c>
      <c r="J325" s="203">
        <v>-53300</v>
      </c>
      <c r="L325" s="305"/>
      <c r="N325" s="251"/>
    </row>
    <row r="326" spans="1:14" s="144" customFormat="1" x14ac:dyDescent="0.3">
      <c r="A326" s="49" t="s">
        <v>234</v>
      </c>
      <c r="B326" s="10" t="s">
        <v>112</v>
      </c>
      <c r="C326" s="99">
        <v>-1266</v>
      </c>
      <c r="D326" s="99">
        <v>0</v>
      </c>
      <c r="E326" s="48">
        <v>-1376</v>
      </c>
      <c r="F326" s="31"/>
      <c r="G326" s="145">
        <v>-1613</v>
      </c>
      <c r="H326" s="145">
        <v>-2200</v>
      </c>
      <c r="I326" s="145">
        <v>-1333.39</v>
      </c>
      <c r="J326" s="203">
        <v>-2000</v>
      </c>
      <c r="L326" s="305"/>
      <c r="N326" s="251"/>
    </row>
    <row r="327" spans="1:14" s="144" customFormat="1" x14ac:dyDescent="0.3">
      <c r="A327" s="49" t="s">
        <v>235</v>
      </c>
      <c r="B327" s="10" t="s">
        <v>113</v>
      </c>
      <c r="C327" s="99">
        <v>-470</v>
      </c>
      <c r="D327" s="99">
        <v>0</v>
      </c>
      <c r="E327" s="48">
        <v>-230</v>
      </c>
      <c r="F327" s="31"/>
      <c r="G327" s="145">
        <v>-346</v>
      </c>
      <c r="H327" s="145">
        <v>-2000</v>
      </c>
      <c r="I327" s="145">
        <v>-2022.33</v>
      </c>
      <c r="J327" s="203">
        <v>-2000</v>
      </c>
      <c r="L327" s="305"/>
      <c r="N327" s="251"/>
    </row>
    <row r="328" spans="1:14" s="144" customFormat="1" x14ac:dyDescent="0.3">
      <c r="A328" s="49" t="s">
        <v>236</v>
      </c>
      <c r="B328" s="10" t="s">
        <v>126</v>
      </c>
      <c r="C328" s="99">
        <v>-2096</v>
      </c>
      <c r="D328" s="99">
        <v>0</v>
      </c>
      <c r="E328" s="48">
        <v>-2078</v>
      </c>
      <c r="F328" s="31"/>
      <c r="G328" s="145">
        <v>-2957</v>
      </c>
      <c r="H328" s="145">
        <v>-2500</v>
      </c>
      <c r="I328" s="145">
        <v>-1600.5</v>
      </c>
      <c r="J328" s="203">
        <v>-2000</v>
      </c>
      <c r="L328" s="305"/>
      <c r="N328" s="251"/>
    </row>
    <row r="329" spans="1:14" s="144" customFormat="1" x14ac:dyDescent="0.3">
      <c r="A329" s="49" t="s">
        <v>221</v>
      </c>
      <c r="B329" s="10" t="s">
        <v>237</v>
      </c>
      <c r="C329" s="99">
        <v>0</v>
      </c>
      <c r="D329" s="99">
        <v>0</v>
      </c>
      <c r="E329" s="48">
        <v>0</v>
      </c>
      <c r="F329" s="31"/>
      <c r="G329" s="145">
        <v>0</v>
      </c>
      <c r="H329" s="145">
        <v>0</v>
      </c>
      <c r="I329" s="145">
        <v>-65</v>
      </c>
      <c r="J329" s="203">
        <v>0</v>
      </c>
      <c r="L329" s="305"/>
      <c r="N329" s="251"/>
    </row>
    <row r="330" spans="1:14" s="144" customFormat="1" x14ac:dyDescent="0.3">
      <c r="A330" s="49" t="s">
        <v>238</v>
      </c>
      <c r="B330" s="10" t="s">
        <v>199</v>
      </c>
      <c r="C330" s="99">
        <v>-11549</v>
      </c>
      <c r="D330" s="99">
        <v>0</v>
      </c>
      <c r="E330" s="48">
        <v>-11584</v>
      </c>
      <c r="F330" s="31"/>
      <c r="G330" s="145">
        <v>-12355</v>
      </c>
      <c r="H330" s="145">
        <v>-16000</v>
      </c>
      <c r="I330" s="145">
        <v>-15338.28</v>
      </c>
      <c r="J330" s="203">
        <v>-20000</v>
      </c>
      <c r="K330" s="326"/>
      <c r="L330" s="327"/>
      <c r="N330" s="251"/>
    </row>
    <row r="331" spans="1:14" hidden="1" x14ac:dyDescent="0.3">
      <c r="A331" s="45" t="s">
        <v>239</v>
      </c>
      <c r="B331" s="45" t="s">
        <v>240</v>
      </c>
      <c r="C331" s="46">
        <f t="shared" ref="C331:F331" si="90">SUM(C332:C333)</f>
        <v>0</v>
      </c>
      <c r="D331" s="46">
        <f t="shared" si="90"/>
        <v>-1468</v>
      </c>
      <c r="E331" s="46">
        <f t="shared" si="90"/>
        <v>0</v>
      </c>
      <c r="F331" s="46">
        <f t="shared" si="90"/>
        <v>-6371</v>
      </c>
      <c r="G331" s="46">
        <f t="shared" ref="G331" si="91">SUM(G332:G333)</f>
        <v>0</v>
      </c>
      <c r="H331" s="46">
        <f t="shared" ref="H331" si="92">SUM(H332:H333)</f>
        <v>0</v>
      </c>
      <c r="I331" s="46"/>
      <c r="J331" s="202"/>
      <c r="K331" s="288"/>
      <c r="L331" s="292"/>
    </row>
    <row r="332" spans="1:14" s="144" customFormat="1" hidden="1" x14ac:dyDescent="0.3">
      <c r="A332" s="10">
        <v>5511</v>
      </c>
      <c r="B332" s="10" t="s">
        <v>125</v>
      </c>
      <c r="C332" s="99">
        <v>0</v>
      </c>
      <c r="D332" s="31">
        <v>-1468</v>
      </c>
      <c r="E332" s="48">
        <v>0</v>
      </c>
      <c r="F332" s="31">
        <v>-6240</v>
      </c>
      <c r="G332" s="145"/>
      <c r="H332" s="145"/>
      <c r="I332" s="145"/>
      <c r="J332" s="203"/>
      <c r="K332" s="296"/>
      <c r="L332" s="299"/>
      <c r="N332" s="251"/>
    </row>
    <row r="333" spans="1:14" s="144" customFormat="1" hidden="1" x14ac:dyDescent="0.3">
      <c r="A333" s="10">
        <v>5514</v>
      </c>
      <c r="B333" s="10" t="s">
        <v>113</v>
      </c>
      <c r="C333" s="99">
        <v>0</v>
      </c>
      <c r="D333" s="99">
        <v>0</v>
      </c>
      <c r="E333" s="48">
        <v>0</v>
      </c>
      <c r="F333" s="31">
        <v>-131</v>
      </c>
      <c r="G333" s="145"/>
      <c r="H333" s="145"/>
      <c r="I333" s="145"/>
      <c r="J333" s="203"/>
      <c r="K333" s="296"/>
      <c r="L333" s="299"/>
      <c r="N333" s="251"/>
    </row>
    <row r="334" spans="1:14" x14ac:dyDescent="0.3">
      <c r="A334" s="45" t="s">
        <v>241</v>
      </c>
      <c r="B334" s="45" t="s">
        <v>242</v>
      </c>
      <c r="C334" s="46">
        <f t="shared" ref="C334:F334" si="93">SUM(C335:C341)</f>
        <v>0</v>
      </c>
      <c r="D334" s="46">
        <f t="shared" si="93"/>
        <v>-47575</v>
      </c>
      <c r="E334" s="46">
        <f t="shared" si="93"/>
        <v>0</v>
      </c>
      <c r="F334" s="46">
        <f t="shared" si="93"/>
        <v>-38248</v>
      </c>
      <c r="G334" s="46">
        <f>SUM(G335:G341)</f>
        <v>-37768</v>
      </c>
      <c r="H334" s="46">
        <f>SUM(H335:H341)</f>
        <v>-40930</v>
      </c>
      <c r="I334" s="46">
        <f>SUM(I335:I341)</f>
        <v>-44529.760000000009</v>
      </c>
      <c r="J334" s="46">
        <f>SUM(J335:J341)</f>
        <v>-43475</v>
      </c>
      <c r="K334" s="288"/>
      <c r="L334" s="292"/>
    </row>
    <row r="335" spans="1:14" s="144" customFormat="1" x14ac:dyDescent="0.3">
      <c r="A335" s="10">
        <v>5002</v>
      </c>
      <c r="B335" s="10" t="s">
        <v>172</v>
      </c>
      <c r="C335" s="99">
        <v>0</v>
      </c>
      <c r="D335" s="31">
        <v>-6528</v>
      </c>
      <c r="E335" s="48">
        <v>0</v>
      </c>
      <c r="F335" s="31">
        <v>-7970</v>
      </c>
      <c r="G335" s="145">
        <v>-11744</v>
      </c>
      <c r="H335" s="145">
        <v>-12000</v>
      </c>
      <c r="I335" s="145">
        <v>-12804.41</v>
      </c>
      <c r="J335" s="203">
        <v>-16200</v>
      </c>
      <c r="K335" s="296"/>
      <c r="L335" s="299"/>
      <c r="N335" s="251"/>
    </row>
    <row r="336" spans="1:14" s="144" customFormat="1" x14ac:dyDescent="0.3">
      <c r="A336" s="10">
        <v>5005</v>
      </c>
      <c r="B336" s="10" t="s">
        <v>123</v>
      </c>
      <c r="C336" s="99">
        <v>0</v>
      </c>
      <c r="D336" s="31">
        <v>-244</v>
      </c>
      <c r="E336" s="48">
        <v>0</v>
      </c>
      <c r="F336" s="31">
        <v>-668</v>
      </c>
      <c r="G336" s="145">
        <v>-237</v>
      </c>
      <c r="H336" s="145">
        <v>-800</v>
      </c>
      <c r="I336" s="145">
        <v>-700</v>
      </c>
      <c r="J336" s="203">
        <v>0</v>
      </c>
      <c r="K336" s="296"/>
      <c r="L336" s="299"/>
      <c r="N336" s="251"/>
    </row>
    <row r="337" spans="1:25" s="144" customFormat="1" x14ac:dyDescent="0.3">
      <c r="A337" s="10">
        <v>506</v>
      </c>
      <c r="B337" s="10" t="s">
        <v>108</v>
      </c>
      <c r="C337" s="99">
        <v>0</v>
      </c>
      <c r="D337" s="31">
        <v>-2346</v>
      </c>
      <c r="E337" s="48">
        <v>0</v>
      </c>
      <c r="F337" s="31">
        <v>-2853</v>
      </c>
      <c r="G337" s="145">
        <v>-3979</v>
      </c>
      <c r="H337" s="145">
        <v>-4330</v>
      </c>
      <c r="I337" s="145">
        <v>-4564.4799999999996</v>
      </c>
      <c r="J337" s="203">
        <v>-5475</v>
      </c>
      <c r="K337" s="296"/>
      <c r="L337" s="328"/>
      <c r="N337" s="251"/>
    </row>
    <row r="338" spans="1:25" s="144" customFormat="1" x14ac:dyDescent="0.3">
      <c r="A338" s="10">
        <v>5511</v>
      </c>
      <c r="B338" s="10" t="s">
        <v>125</v>
      </c>
      <c r="C338" s="99">
        <v>0</v>
      </c>
      <c r="D338" s="31">
        <v>-38457</v>
      </c>
      <c r="E338" s="48">
        <v>0</v>
      </c>
      <c r="F338" s="31">
        <v>-25404</v>
      </c>
      <c r="G338" s="145">
        <v>-21601</v>
      </c>
      <c r="H338" s="145">
        <v>-23000</v>
      </c>
      <c r="I338" s="145">
        <v>-16151.01</v>
      </c>
      <c r="J338" s="203">
        <v>-21000</v>
      </c>
      <c r="K338" s="296"/>
      <c r="L338" s="299"/>
      <c r="N338" s="251"/>
    </row>
    <row r="339" spans="1:25" s="144" customFormat="1" x14ac:dyDescent="0.3">
      <c r="A339" s="10">
        <v>5514</v>
      </c>
      <c r="B339" s="10" t="s">
        <v>113</v>
      </c>
      <c r="C339" s="99">
        <v>0</v>
      </c>
      <c r="D339" s="31">
        <v>0</v>
      </c>
      <c r="E339" s="48">
        <v>0</v>
      </c>
      <c r="F339" s="31">
        <v>-235</v>
      </c>
      <c r="G339" s="145">
        <v>-77</v>
      </c>
      <c r="H339" s="145">
        <v>-300</v>
      </c>
      <c r="I339" s="145">
        <v>-44.66</v>
      </c>
      <c r="J339" s="203">
        <v>-300</v>
      </c>
      <c r="K339" s="296"/>
      <c r="L339" s="299"/>
      <c r="N339" s="251"/>
    </row>
    <row r="340" spans="1:25" s="144" customFormat="1" x14ac:dyDescent="0.3">
      <c r="A340" s="10">
        <v>5515</v>
      </c>
      <c r="B340" s="10" t="s">
        <v>126</v>
      </c>
      <c r="C340" s="99">
        <v>0</v>
      </c>
      <c r="D340" s="31">
        <v>0</v>
      </c>
      <c r="E340" s="48">
        <v>0</v>
      </c>
      <c r="F340" s="31">
        <v>0</v>
      </c>
      <c r="G340" s="145">
        <v>-130</v>
      </c>
      <c r="H340" s="145">
        <v>-500</v>
      </c>
      <c r="I340" s="145">
        <v>-10265.200000000001</v>
      </c>
      <c r="J340" s="203">
        <v>-500</v>
      </c>
      <c r="K340" s="296"/>
      <c r="L340" s="299"/>
      <c r="N340" s="251"/>
    </row>
    <row r="341" spans="1:25" s="144" customFormat="1" x14ac:dyDescent="0.3">
      <c r="A341" s="10">
        <v>5540</v>
      </c>
      <c r="B341" s="10" t="s">
        <v>129</v>
      </c>
      <c r="C341" s="99">
        <v>0</v>
      </c>
      <c r="D341" s="31">
        <v>0</v>
      </c>
      <c r="E341" s="48">
        <v>0</v>
      </c>
      <c r="F341" s="31">
        <v>-1118</v>
      </c>
      <c r="G341" s="145">
        <v>0</v>
      </c>
      <c r="H341" s="145">
        <v>0</v>
      </c>
      <c r="I341" s="145"/>
      <c r="J341" s="203">
        <v>0</v>
      </c>
      <c r="K341" s="296"/>
      <c r="L341" s="328"/>
      <c r="N341" s="251"/>
    </row>
    <row r="342" spans="1:25" x14ac:dyDescent="0.3">
      <c r="A342" s="45" t="s">
        <v>243</v>
      </c>
      <c r="B342" s="45" t="s">
        <v>244</v>
      </c>
      <c r="C342" s="46">
        <f t="shared" ref="C342:F342" si="94">SUM(C343:C345)</f>
        <v>0</v>
      </c>
      <c r="D342" s="46">
        <f t="shared" si="94"/>
        <v>-33783</v>
      </c>
      <c r="E342" s="46">
        <f t="shared" si="94"/>
        <v>0</v>
      </c>
      <c r="F342" s="46">
        <f t="shared" si="94"/>
        <v>-22875</v>
      </c>
      <c r="G342" s="46">
        <f>SUM(G343:G346)</f>
        <v>-44432</v>
      </c>
      <c r="H342" s="46">
        <f>SUM(H343:H346)</f>
        <v>-66400</v>
      </c>
      <c r="I342" s="46">
        <f>SUM(I343:I346)</f>
        <v>-68078.44</v>
      </c>
      <c r="J342" s="46">
        <f>SUM(J343:J346)</f>
        <v>-67900</v>
      </c>
      <c r="K342" s="288"/>
      <c r="L342" s="292"/>
    </row>
    <row r="343" spans="1:25" s="144" customFormat="1" x14ac:dyDescent="0.3">
      <c r="A343" s="10">
        <v>4139</v>
      </c>
      <c r="B343" s="10" t="s">
        <v>206</v>
      </c>
      <c r="C343" s="99">
        <v>0</v>
      </c>
      <c r="D343" s="99">
        <v>0</v>
      </c>
      <c r="E343" s="48">
        <v>0</v>
      </c>
      <c r="F343" s="31">
        <v>-2560</v>
      </c>
      <c r="G343" s="145">
        <v>0</v>
      </c>
      <c r="H343" s="145">
        <v>0</v>
      </c>
      <c r="I343" s="145"/>
      <c r="J343" s="203">
        <v>0</v>
      </c>
      <c r="K343" s="296"/>
      <c r="L343" s="299"/>
      <c r="N343" s="251"/>
    </row>
    <row r="344" spans="1:25" s="144" customFormat="1" x14ac:dyDescent="0.3">
      <c r="A344" s="10">
        <v>4500</v>
      </c>
      <c r="B344" s="10" t="s">
        <v>116</v>
      </c>
      <c r="C344" s="99">
        <v>0</v>
      </c>
      <c r="D344" s="99">
        <v>0</v>
      </c>
      <c r="E344" s="48">
        <v>0</v>
      </c>
      <c r="F344" s="31">
        <v>-5160</v>
      </c>
      <c r="G344" s="151">
        <v>0</v>
      </c>
      <c r="H344" s="151">
        <v>0</v>
      </c>
      <c r="I344" s="151"/>
      <c r="J344" s="203">
        <v>0</v>
      </c>
      <c r="K344" s="296"/>
      <c r="L344" s="299"/>
      <c r="N344" s="251"/>
    </row>
    <row r="345" spans="1:25" s="144" customFormat="1" x14ac:dyDescent="0.3">
      <c r="A345" s="10">
        <v>4521</v>
      </c>
      <c r="B345" s="10" t="s">
        <v>140</v>
      </c>
      <c r="C345" s="99">
        <v>0</v>
      </c>
      <c r="D345" s="99">
        <v>-33783</v>
      </c>
      <c r="E345" s="48">
        <v>0</v>
      </c>
      <c r="F345" s="31">
        <v>-15155</v>
      </c>
      <c r="G345" s="31">
        <v>-39805</v>
      </c>
      <c r="H345" s="31">
        <v>-56400</v>
      </c>
      <c r="I345" s="31">
        <v>-58850.759999999995</v>
      </c>
      <c r="J345" s="203">
        <v>-58400</v>
      </c>
      <c r="K345" s="296"/>
      <c r="L345" s="328"/>
      <c r="N345" s="251"/>
    </row>
    <row r="346" spans="1:25" s="144" customFormat="1" x14ac:dyDescent="0.3">
      <c r="A346" s="10">
        <v>5511</v>
      </c>
      <c r="B346" s="10" t="s">
        <v>125</v>
      </c>
      <c r="C346" s="99">
        <v>0</v>
      </c>
      <c r="D346" s="99">
        <v>0</v>
      </c>
      <c r="E346" s="48">
        <v>0</v>
      </c>
      <c r="F346" s="31">
        <v>0</v>
      </c>
      <c r="G346" s="31">
        <v>-4627</v>
      </c>
      <c r="H346" s="31">
        <v>-10000</v>
      </c>
      <c r="I346" s="31">
        <v>-9227.68</v>
      </c>
      <c r="J346" s="203">
        <v>-9500</v>
      </c>
      <c r="K346" s="296"/>
      <c r="L346" s="328"/>
      <c r="N346" s="251"/>
    </row>
    <row r="347" spans="1:25" s="122" customFormat="1" hidden="1" x14ac:dyDescent="0.3">
      <c r="A347" s="44" t="s">
        <v>245</v>
      </c>
      <c r="B347" s="45" t="s">
        <v>246</v>
      </c>
      <c r="C347" s="109">
        <f>SUM(C348:C350)</f>
        <v>-7166</v>
      </c>
      <c r="D347" s="109">
        <f t="shared" ref="D347:F347" si="95">SUM(D348:D350)</f>
        <v>0</v>
      </c>
      <c r="E347" s="109">
        <f t="shared" si="95"/>
        <v>0</v>
      </c>
      <c r="F347" s="109">
        <f t="shared" si="95"/>
        <v>0</v>
      </c>
      <c r="G347" s="109">
        <f t="shared" ref="G347" si="96">SUM(G348:G350)</f>
        <v>0</v>
      </c>
      <c r="H347" s="109">
        <f t="shared" ref="H347" si="97">SUM(H348:H350)</f>
        <v>0</v>
      </c>
      <c r="I347" s="109"/>
      <c r="J347" s="202"/>
      <c r="K347" s="295"/>
      <c r="L347" s="298"/>
      <c r="M347" s="118"/>
      <c r="N347" s="246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</row>
    <row r="348" spans="1:25" s="144" customFormat="1" hidden="1" x14ac:dyDescent="0.3">
      <c r="A348" s="10">
        <v>5005</v>
      </c>
      <c r="B348" s="10" t="s">
        <v>123</v>
      </c>
      <c r="C348" s="99">
        <v>-4776</v>
      </c>
      <c r="D348" s="99">
        <v>0</v>
      </c>
      <c r="E348" s="48">
        <v>0</v>
      </c>
      <c r="F348" s="31">
        <v>0</v>
      </c>
      <c r="G348" s="31">
        <v>0</v>
      </c>
      <c r="H348" s="31">
        <v>0</v>
      </c>
      <c r="I348" s="31"/>
      <c r="J348" s="203"/>
      <c r="K348" s="347"/>
      <c r="L348" s="328"/>
      <c r="M348" s="141"/>
      <c r="N348" s="254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</row>
    <row r="349" spans="1:25" s="144" customFormat="1" hidden="1" x14ac:dyDescent="0.3">
      <c r="A349" s="10">
        <v>506</v>
      </c>
      <c r="B349" s="10" t="s">
        <v>108</v>
      </c>
      <c r="C349" s="99">
        <v>-2135</v>
      </c>
      <c r="D349" s="99">
        <v>0</v>
      </c>
      <c r="E349" s="48">
        <v>0</v>
      </c>
      <c r="F349" s="31">
        <v>0</v>
      </c>
      <c r="G349" s="31">
        <v>0</v>
      </c>
      <c r="H349" s="31">
        <v>0</v>
      </c>
      <c r="I349" s="31"/>
      <c r="J349" s="203"/>
      <c r="K349" s="296"/>
      <c r="L349" s="299"/>
      <c r="N349" s="251"/>
    </row>
    <row r="350" spans="1:25" s="144" customFormat="1" hidden="1" x14ac:dyDescent="0.3">
      <c r="A350" s="10">
        <v>5500</v>
      </c>
      <c r="B350" s="10" t="s">
        <v>109</v>
      </c>
      <c r="C350" s="99">
        <v>-255</v>
      </c>
      <c r="D350" s="99">
        <v>0</v>
      </c>
      <c r="E350" s="48">
        <v>0</v>
      </c>
      <c r="F350" s="31">
        <v>0</v>
      </c>
      <c r="G350" s="31">
        <v>0</v>
      </c>
      <c r="H350" s="31">
        <v>0</v>
      </c>
      <c r="I350" s="31"/>
      <c r="J350" s="203"/>
      <c r="K350" s="296"/>
      <c r="L350" s="299"/>
      <c r="N350" s="251"/>
    </row>
    <row r="351" spans="1:25" s="120" customFormat="1" ht="13" hidden="1" x14ac:dyDescent="0.3">
      <c r="A351" s="44" t="s">
        <v>247</v>
      </c>
      <c r="B351" s="45" t="s">
        <v>248</v>
      </c>
      <c r="C351" s="109">
        <f>SUM(C352:C353)</f>
        <v>-650</v>
      </c>
      <c r="D351" s="109">
        <f t="shared" ref="D351:F351" si="98">SUM(D352:D353)</f>
        <v>0</v>
      </c>
      <c r="E351" s="109">
        <f t="shared" si="98"/>
        <v>0</v>
      </c>
      <c r="F351" s="109">
        <f t="shared" si="98"/>
        <v>0</v>
      </c>
      <c r="G351" s="109">
        <f t="shared" ref="G351" si="99">SUM(G352:G353)</f>
        <v>0</v>
      </c>
      <c r="H351" s="109">
        <f t="shared" ref="H351" si="100">SUM(H352:H353)</f>
        <v>0</v>
      </c>
      <c r="I351" s="109"/>
      <c r="J351" s="204"/>
      <c r="K351" s="329"/>
      <c r="L351" s="330"/>
      <c r="N351" s="250"/>
    </row>
    <row r="352" spans="1:25" s="144" customFormat="1" hidden="1" x14ac:dyDescent="0.3">
      <c r="A352" s="10">
        <v>5005</v>
      </c>
      <c r="B352" s="10" t="s">
        <v>123</v>
      </c>
      <c r="C352" s="99">
        <v>-650</v>
      </c>
      <c r="D352" s="99">
        <v>0</v>
      </c>
      <c r="E352" s="48">
        <v>0</v>
      </c>
      <c r="F352" s="31">
        <v>0</v>
      </c>
      <c r="G352" s="145" t="s">
        <v>249</v>
      </c>
      <c r="H352" s="145" t="s">
        <v>249</v>
      </c>
      <c r="I352" s="145"/>
      <c r="J352" s="203"/>
      <c r="K352" s="296"/>
      <c r="L352" s="299"/>
      <c r="N352" s="251"/>
    </row>
    <row r="353" spans="1:92" s="144" customFormat="1" hidden="1" x14ac:dyDescent="0.3">
      <c r="A353" s="10">
        <v>5060</v>
      </c>
      <c r="B353" s="10" t="s">
        <v>108</v>
      </c>
      <c r="C353" s="99">
        <v>0</v>
      </c>
      <c r="D353" s="99">
        <v>0</v>
      </c>
      <c r="E353" s="48">
        <v>0</v>
      </c>
      <c r="F353" s="31">
        <v>0</v>
      </c>
      <c r="G353" s="145"/>
      <c r="H353" s="145"/>
      <c r="I353" s="145"/>
      <c r="J353" s="203"/>
      <c r="K353" s="296"/>
      <c r="L353" s="299"/>
      <c r="N353" s="251"/>
    </row>
    <row r="354" spans="1:92" s="120" customFormat="1" ht="13" hidden="1" x14ac:dyDescent="0.3">
      <c r="A354" s="44" t="s">
        <v>250</v>
      </c>
      <c r="B354" s="45" t="s">
        <v>251</v>
      </c>
      <c r="C354" s="109">
        <f>C355</f>
        <v>-16665</v>
      </c>
      <c r="D354" s="109">
        <f t="shared" ref="D354:H354" si="101">D355</f>
        <v>0</v>
      </c>
      <c r="E354" s="109">
        <f t="shared" si="101"/>
        <v>0</v>
      </c>
      <c r="F354" s="109">
        <f t="shared" si="101"/>
        <v>0</v>
      </c>
      <c r="G354" s="109">
        <f t="shared" si="101"/>
        <v>0</v>
      </c>
      <c r="H354" s="109">
        <f t="shared" si="101"/>
        <v>0</v>
      </c>
      <c r="I354" s="109"/>
      <c r="J354" s="204"/>
      <c r="K354" s="329"/>
      <c r="L354" s="330"/>
      <c r="N354" s="250"/>
    </row>
    <row r="355" spans="1:92" s="144" customFormat="1" hidden="1" x14ac:dyDescent="0.3">
      <c r="A355" s="10">
        <v>5525</v>
      </c>
      <c r="B355" s="10" t="s">
        <v>252</v>
      </c>
      <c r="C355" s="99">
        <v>-16665</v>
      </c>
      <c r="D355" s="99">
        <v>0</v>
      </c>
      <c r="E355" s="48"/>
      <c r="F355" s="31">
        <v>0</v>
      </c>
      <c r="G355" s="145"/>
      <c r="H355" s="145"/>
      <c r="I355" s="145"/>
      <c r="J355" s="203"/>
      <c r="K355" s="296"/>
      <c r="L355" s="299"/>
      <c r="N355" s="251"/>
    </row>
    <row r="356" spans="1:92" x14ac:dyDescent="0.3">
      <c r="A356" s="50" t="s">
        <v>253</v>
      </c>
      <c r="B356" s="45" t="s">
        <v>254</v>
      </c>
      <c r="C356" s="46">
        <f t="shared" ref="C356:J356" si="102">C357</f>
        <v>-4003</v>
      </c>
      <c r="D356" s="46">
        <f t="shared" si="102"/>
        <v>-9336</v>
      </c>
      <c r="E356" s="46">
        <f t="shared" si="102"/>
        <v>-12167</v>
      </c>
      <c r="F356" s="46">
        <f t="shared" si="102"/>
        <v>0</v>
      </c>
      <c r="G356" s="46">
        <f t="shared" si="102"/>
        <v>-15364</v>
      </c>
      <c r="H356" s="46">
        <f t="shared" si="102"/>
        <v>-12000</v>
      </c>
      <c r="I356" s="46">
        <f>I357</f>
        <v>-9218.2800000000007</v>
      </c>
      <c r="J356" s="46">
        <f t="shared" si="102"/>
        <v>-13500</v>
      </c>
      <c r="K356" s="288"/>
      <c r="L356" s="292"/>
    </row>
    <row r="357" spans="1:92" s="144" customFormat="1" x14ac:dyDescent="0.3">
      <c r="A357" s="51">
        <v>5500</v>
      </c>
      <c r="B357" s="10" t="s">
        <v>109</v>
      </c>
      <c r="C357" s="99">
        <v>-4003</v>
      </c>
      <c r="D357" s="99">
        <v>-9336</v>
      </c>
      <c r="E357" s="48">
        <v>-12167</v>
      </c>
      <c r="F357" s="31">
        <v>0</v>
      </c>
      <c r="G357" s="145">
        <v>-15364</v>
      </c>
      <c r="H357" s="145">
        <v>-12000</v>
      </c>
      <c r="I357" s="145">
        <v>-9218.2800000000007</v>
      </c>
      <c r="J357" s="203">
        <v>-13500</v>
      </c>
      <c r="K357" s="296"/>
      <c r="L357" s="328"/>
      <c r="N357" s="251"/>
    </row>
    <row r="358" spans="1:92" s="120" customFormat="1" x14ac:dyDescent="0.3">
      <c r="A358" s="44" t="s">
        <v>255</v>
      </c>
      <c r="B358" s="45" t="s">
        <v>256</v>
      </c>
      <c r="C358" s="109">
        <f>SUM(C359:C362)</f>
        <v>-2260</v>
      </c>
      <c r="D358" s="109">
        <f t="shared" ref="D358:G358" si="103">SUM(D359:D362)</f>
        <v>0</v>
      </c>
      <c r="E358" s="109">
        <f t="shared" si="103"/>
        <v>-1578</v>
      </c>
      <c r="F358" s="109">
        <f t="shared" si="103"/>
        <v>0</v>
      </c>
      <c r="G358" s="109">
        <f t="shared" si="103"/>
        <v>-27426</v>
      </c>
      <c r="H358" s="109">
        <f t="shared" ref="H358:J358" si="104">SUM(H359:H362)</f>
        <v>-29670</v>
      </c>
      <c r="I358" s="109">
        <f>SUM(I359:I362)</f>
        <v>-29670</v>
      </c>
      <c r="J358" s="109">
        <f t="shared" si="104"/>
        <v>-19270</v>
      </c>
      <c r="K358" s="296"/>
      <c r="L358" s="299"/>
      <c r="M358" s="144"/>
      <c r="N358" s="251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19"/>
      <c r="BP358" s="119"/>
      <c r="BQ358" s="119"/>
      <c r="BR358" s="119"/>
      <c r="BS358" s="119"/>
      <c r="BT358" s="119"/>
      <c r="BU358" s="119"/>
      <c r="BV358" s="119"/>
      <c r="BW358" s="119"/>
      <c r="BX358" s="119"/>
      <c r="BY358" s="119"/>
      <c r="BZ358" s="119"/>
      <c r="CA358" s="119"/>
      <c r="CB358" s="119"/>
      <c r="CC358" s="119"/>
      <c r="CD358" s="119"/>
      <c r="CE358" s="119"/>
      <c r="CF358" s="119"/>
      <c r="CG358" s="119"/>
      <c r="CH358" s="119"/>
      <c r="CI358" s="119"/>
      <c r="CJ358" s="119"/>
      <c r="CK358" s="119"/>
      <c r="CL358" s="119"/>
      <c r="CM358" s="119"/>
      <c r="CN358" s="119"/>
    </row>
    <row r="359" spans="1:92" s="168" customFormat="1" x14ac:dyDescent="0.3">
      <c r="A359" s="124" t="s">
        <v>164</v>
      </c>
      <c r="B359" s="47" t="s">
        <v>116</v>
      </c>
      <c r="C359" s="100">
        <v>0</v>
      </c>
      <c r="D359" s="100">
        <v>0</v>
      </c>
      <c r="E359" s="100">
        <v>0</v>
      </c>
      <c r="F359" s="100">
        <v>0</v>
      </c>
      <c r="G359" s="100">
        <v>-27426</v>
      </c>
      <c r="H359" s="100">
        <v>-29670</v>
      </c>
      <c r="I359" s="100">
        <v>-29670</v>
      </c>
      <c r="J359" s="283">
        <f>-34270+15000</f>
        <v>-19270</v>
      </c>
      <c r="K359" s="323"/>
      <c r="L359" s="328"/>
      <c r="M359" s="144"/>
      <c r="N359" s="251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7"/>
      <c r="BQ359" s="167"/>
      <c r="BR359" s="167"/>
      <c r="BS359" s="167"/>
      <c r="BT359" s="167"/>
      <c r="BU359" s="167"/>
      <c r="BV359" s="167"/>
      <c r="BW359" s="167"/>
      <c r="BX359" s="167"/>
      <c r="BY359" s="167"/>
      <c r="BZ359" s="167"/>
      <c r="CA359" s="167"/>
      <c r="CB359" s="167"/>
      <c r="CC359" s="167"/>
      <c r="CD359" s="167"/>
      <c r="CE359" s="167"/>
      <c r="CF359" s="167"/>
      <c r="CG359" s="167"/>
      <c r="CH359" s="167"/>
      <c r="CI359" s="167"/>
      <c r="CJ359" s="167"/>
      <c r="CK359" s="167"/>
      <c r="CL359" s="167"/>
      <c r="CM359" s="167"/>
      <c r="CN359" s="167"/>
    </row>
    <row r="360" spans="1:92" s="121" customFormat="1" ht="15" customHeight="1" x14ac:dyDescent="0.3">
      <c r="A360" s="124" t="s">
        <v>228</v>
      </c>
      <c r="B360" s="47" t="s">
        <v>123</v>
      </c>
      <c r="C360" s="100">
        <v>0</v>
      </c>
      <c r="D360" s="100">
        <v>0</v>
      </c>
      <c r="E360" s="100">
        <v>-193</v>
      </c>
      <c r="F360" s="100">
        <v>0</v>
      </c>
      <c r="G360" s="145">
        <v>0</v>
      </c>
      <c r="H360" s="145">
        <v>0</v>
      </c>
      <c r="I360" s="145"/>
      <c r="J360" s="203"/>
      <c r="L360" s="305"/>
      <c r="M360" s="144"/>
      <c r="N360" s="251"/>
      <c r="O360" s="296"/>
      <c r="P360" s="296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  <c r="BA360" s="142"/>
      <c r="BB360" s="142"/>
      <c r="BC360" s="142"/>
      <c r="BD360" s="142"/>
      <c r="BE360" s="142"/>
      <c r="BF360" s="142"/>
      <c r="BG360" s="142"/>
      <c r="BH360" s="142"/>
      <c r="BI360" s="142"/>
      <c r="BJ360" s="142"/>
      <c r="BK360" s="142"/>
      <c r="BL360" s="142"/>
      <c r="BM360" s="142"/>
      <c r="BN360" s="142"/>
      <c r="BO360" s="142"/>
      <c r="BP360" s="142"/>
      <c r="BQ360" s="142"/>
      <c r="BR360" s="142"/>
      <c r="BS360" s="142"/>
      <c r="BT360" s="142"/>
      <c r="BU360" s="142"/>
      <c r="BV360" s="142"/>
      <c r="BW360" s="142"/>
      <c r="BX360" s="142"/>
      <c r="BY360" s="142"/>
      <c r="BZ360" s="142"/>
      <c r="CA360" s="142"/>
      <c r="CB360" s="142"/>
      <c r="CC360" s="142"/>
      <c r="CD360" s="142"/>
      <c r="CE360" s="142"/>
      <c r="CF360" s="142"/>
      <c r="CG360" s="142"/>
      <c r="CH360" s="142"/>
      <c r="CI360" s="142"/>
      <c r="CJ360" s="142"/>
      <c r="CK360" s="142"/>
      <c r="CL360" s="142"/>
      <c r="CM360" s="142"/>
      <c r="CN360" s="142"/>
    </row>
    <row r="361" spans="1:92" s="121" customFormat="1" ht="15" customHeight="1" x14ac:dyDescent="0.3">
      <c r="A361" s="124" t="s">
        <v>229</v>
      </c>
      <c r="B361" s="47" t="s">
        <v>108</v>
      </c>
      <c r="C361" s="100">
        <v>0</v>
      </c>
      <c r="D361" s="100">
        <v>0</v>
      </c>
      <c r="E361" s="100">
        <v>-285</v>
      </c>
      <c r="F361" s="100">
        <v>0</v>
      </c>
      <c r="G361" s="145">
        <v>0</v>
      </c>
      <c r="H361" s="145">
        <v>0</v>
      </c>
      <c r="I361" s="145"/>
      <c r="J361" s="203"/>
      <c r="L361" s="312"/>
      <c r="M361" s="142"/>
      <c r="N361" s="253"/>
      <c r="O361" s="348"/>
      <c r="P361" s="348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  <c r="BA361" s="142"/>
      <c r="BB361" s="142"/>
      <c r="BC361" s="142"/>
      <c r="BD361" s="142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2"/>
      <c r="BQ361" s="142"/>
      <c r="BR361" s="142"/>
      <c r="BS361" s="142"/>
      <c r="BT361" s="142"/>
      <c r="BU361" s="142"/>
      <c r="BV361" s="142"/>
      <c r="BW361" s="142"/>
      <c r="BX361" s="142"/>
      <c r="BY361" s="142"/>
      <c r="BZ361" s="142"/>
      <c r="CA361" s="142"/>
      <c r="CB361" s="142"/>
      <c r="CC361" s="142"/>
      <c r="CD361" s="142"/>
      <c r="CE361" s="142"/>
      <c r="CF361" s="142"/>
      <c r="CG361" s="142"/>
      <c r="CH361" s="142"/>
      <c r="CI361" s="142"/>
      <c r="CJ361" s="142"/>
      <c r="CK361" s="142"/>
      <c r="CL361" s="142"/>
      <c r="CM361" s="142"/>
      <c r="CN361" s="142"/>
    </row>
    <row r="362" spans="1:92" s="144" customFormat="1" x14ac:dyDescent="0.3">
      <c r="A362" s="51">
        <v>5525</v>
      </c>
      <c r="B362" s="10" t="s">
        <v>252</v>
      </c>
      <c r="C362" s="99">
        <v>-2260</v>
      </c>
      <c r="D362" s="99">
        <v>0</v>
      </c>
      <c r="E362" s="48">
        <v>-1100</v>
      </c>
      <c r="F362" s="31">
        <v>0</v>
      </c>
      <c r="G362" s="145">
        <v>0</v>
      </c>
      <c r="H362" s="145">
        <v>0</v>
      </c>
      <c r="I362" s="145"/>
      <c r="J362" s="203"/>
      <c r="K362" s="305"/>
      <c r="L362" s="312"/>
      <c r="M362" s="142"/>
      <c r="N362" s="253"/>
      <c r="O362" s="348"/>
      <c r="P362" s="348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2"/>
      <c r="BD362" s="142"/>
      <c r="BE362" s="142"/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/>
      <c r="BP362" s="142"/>
      <c r="BQ362" s="142"/>
      <c r="BR362" s="142"/>
      <c r="BS362" s="142"/>
      <c r="BT362" s="142"/>
      <c r="BU362" s="142"/>
      <c r="BV362" s="142"/>
      <c r="BW362" s="142"/>
      <c r="BX362" s="142"/>
      <c r="BY362" s="142"/>
      <c r="BZ362" s="142"/>
      <c r="CA362" s="142"/>
      <c r="CB362" s="142"/>
      <c r="CC362" s="142"/>
      <c r="CD362" s="142"/>
      <c r="CE362" s="142"/>
      <c r="CF362" s="142"/>
      <c r="CG362" s="142"/>
      <c r="CH362" s="142"/>
      <c r="CI362" s="142"/>
      <c r="CJ362" s="142"/>
      <c r="CK362" s="142"/>
      <c r="CL362" s="142"/>
      <c r="CM362" s="142"/>
      <c r="CN362" s="142"/>
    </row>
    <row r="363" spans="1:92" x14ac:dyDescent="0.3">
      <c r="A363" s="52" t="s">
        <v>257</v>
      </c>
      <c r="B363" s="53" t="s">
        <v>258</v>
      </c>
      <c r="C363" s="54">
        <f t="shared" ref="C363:G363" si="105">SUM(C364+C382+C399+C416+C433+C435+C451+C470+C472+C477+C479)</f>
        <v>-1439872</v>
      </c>
      <c r="D363" s="54">
        <f t="shared" si="105"/>
        <v>-770277</v>
      </c>
      <c r="E363" s="54">
        <f t="shared" si="105"/>
        <v>-1609548</v>
      </c>
      <c r="F363" s="54">
        <f t="shared" si="105"/>
        <v>-846766</v>
      </c>
      <c r="G363" s="54">
        <f t="shared" si="105"/>
        <v>-2864519</v>
      </c>
      <c r="H363" s="54">
        <f t="shared" ref="H363:J363" si="106">SUM(H364+H382+H399+H416+H433+H435+H451+H470+H472+H477+H479)</f>
        <v>-3173281</v>
      </c>
      <c r="I363" s="54">
        <f>SUM(I364+I382+I399+I416+I433+I435+I451+I470+I472+I477+I479)</f>
        <v>-3038127.16</v>
      </c>
      <c r="J363" s="54">
        <f t="shared" si="106"/>
        <v>-3289023</v>
      </c>
      <c r="K363" s="139"/>
    </row>
    <row r="364" spans="1:92" x14ac:dyDescent="0.3">
      <c r="A364" s="52" t="s">
        <v>259</v>
      </c>
      <c r="B364" s="53" t="s">
        <v>260</v>
      </c>
      <c r="C364" s="54">
        <f t="shared" ref="C364:F364" si="107">SUM(C365:C381)</f>
        <v>-457984</v>
      </c>
      <c r="D364" s="54">
        <f t="shared" si="107"/>
        <v>0</v>
      </c>
      <c r="E364" s="54">
        <f t="shared" si="107"/>
        <v>-531797</v>
      </c>
      <c r="F364" s="54">
        <f t="shared" si="107"/>
        <v>0</v>
      </c>
      <c r="G364" s="54">
        <f>SUM(G367:G381)+G365</f>
        <v>-669282</v>
      </c>
      <c r="H364" s="54">
        <f>SUM(H367:H381)+H365</f>
        <v>-720810</v>
      </c>
      <c r="I364" s="54">
        <f>SUM(I367:I381)+I365</f>
        <v>-719010.12999999989</v>
      </c>
      <c r="J364" s="54">
        <f>SUM(J367:J381)+J365</f>
        <v>-761086</v>
      </c>
      <c r="K364" s="364"/>
    </row>
    <row r="365" spans="1:92" s="144" customFormat="1" x14ac:dyDescent="0.3">
      <c r="A365" s="55">
        <v>5002</v>
      </c>
      <c r="B365" s="47" t="s">
        <v>172</v>
      </c>
      <c r="C365" s="100">
        <v>-257752</v>
      </c>
      <c r="D365" s="100">
        <v>0</v>
      </c>
      <c r="E365" s="48">
        <v>-316017</v>
      </c>
      <c r="F365" s="48">
        <v>0</v>
      </c>
      <c r="G365" s="145">
        <v>-403088</v>
      </c>
      <c r="H365" s="145">
        <v>-447001</v>
      </c>
      <c r="I365" s="145">
        <v>-440324.74</v>
      </c>
      <c r="J365" s="283">
        <v>-473831</v>
      </c>
      <c r="K365" s="365"/>
      <c r="L365" s="311"/>
      <c r="M365" s="259"/>
      <c r="N365" s="259"/>
      <c r="O365" s="299"/>
      <c r="P365" s="299"/>
      <c r="Q365" s="299"/>
      <c r="R365" s="299"/>
      <c r="S365" s="299"/>
    </row>
    <row r="366" spans="1:92" s="161" customFormat="1" ht="13" x14ac:dyDescent="0.3">
      <c r="A366" s="164" t="s">
        <v>122</v>
      </c>
      <c r="B366" s="186" t="s">
        <v>261</v>
      </c>
      <c r="C366" s="165"/>
      <c r="D366" s="165"/>
      <c r="E366" s="158"/>
      <c r="F366" s="158"/>
      <c r="G366" s="163">
        <v>-7440</v>
      </c>
      <c r="H366" s="163">
        <v>-7678</v>
      </c>
      <c r="I366" s="163"/>
      <c r="J366" s="283">
        <v>-7900</v>
      </c>
      <c r="K366" s="304"/>
      <c r="L366" s="304"/>
      <c r="N366" s="249"/>
    </row>
    <row r="367" spans="1:92" s="144" customFormat="1" x14ac:dyDescent="0.3">
      <c r="A367" s="55">
        <v>5005</v>
      </c>
      <c r="B367" s="47" t="s">
        <v>123</v>
      </c>
      <c r="C367" s="100">
        <v>0</v>
      </c>
      <c r="D367" s="100">
        <v>0</v>
      </c>
      <c r="E367" s="48">
        <v>-524</v>
      </c>
      <c r="F367" s="48">
        <v>0</v>
      </c>
      <c r="G367" s="145">
        <v>-476</v>
      </c>
      <c r="H367" s="145">
        <v>0</v>
      </c>
      <c r="I367" s="145">
        <v>-2646</v>
      </c>
      <c r="J367" s="283"/>
      <c r="K367" s="311"/>
      <c r="L367" s="305"/>
      <c r="M367" s="251"/>
      <c r="N367" s="251"/>
      <c r="O367" s="305"/>
    </row>
    <row r="368" spans="1:92" s="144" customFormat="1" x14ac:dyDescent="0.3">
      <c r="A368" s="55">
        <v>506</v>
      </c>
      <c r="B368" s="47" t="s">
        <v>108</v>
      </c>
      <c r="C368" s="100">
        <v>-88739</v>
      </c>
      <c r="D368" s="100">
        <v>0</v>
      </c>
      <c r="E368" s="48">
        <v>-96134</v>
      </c>
      <c r="F368" s="48">
        <v>0</v>
      </c>
      <c r="G368" s="145">
        <v>-141621</v>
      </c>
      <c r="H368" s="145">
        <v>-151086</v>
      </c>
      <c r="I368" s="145">
        <v>-148257.21</v>
      </c>
      <c r="J368" s="283">
        <v>-160155</v>
      </c>
      <c r="K368" s="299"/>
      <c r="L368" s="328"/>
      <c r="N368" s="251"/>
    </row>
    <row r="369" spans="1:14" s="144" customFormat="1" x14ac:dyDescent="0.3">
      <c r="A369" s="55">
        <v>5500</v>
      </c>
      <c r="B369" s="47" t="s">
        <v>109</v>
      </c>
      <c r="C369" s="100">
        <v>-3255</v>
      </c>
      <c r="D369" s="100">
        <v>0</v>
      </c>
      <c r="E369" s="48">
        <v>-2135</v>
      </c>
      <c r="F369" s="48">
        <v>0</v>
      </c>
      <c r="G369" s="145">
        <v>-1623</v>
      </c>
      <c r="H369" s="145">
        <v>-1800</v>
      </c>
      <c r="I369" s="145">
        <v>-2748.46</v>
      </c>
      <c r="J369" s="283">
        <v>-1800</v>
      </c>
      <c r="K369" s="305"/>
      <c r="L369" s="305"/>
      <c r="N369" s="251"/>
    </row>
    <row r="370" spans="1:14" s="144" customFormat="1" x14ac:dyDescent="0.3">
      <c r="A370" s="55">
        <v>5503</v>
      </c>
      <c r="B370" s="47" t="s">
        <v>124</v>
      </c>
      <c r="C370" s="100"/>
      <c r="D370" s="100"/>
      <c r="E370" s="48"/>
      <c r="F370" s="48"/>
      <c r="G370" s="145">
        <v>-150</v>
      </c>
      <c r="H370" s="145"/>
      <c r="I370" s="145"/>
      <c r="J370" s="203"/>
      <c r="L370" s="305"/>
      <c r="N370" s="251"/>
    </row>
    <row r="371" spans="1:14" s="144" customFormat="1" x14ac:dyDescent="0.3">
      <c r="A371" s="55">
        <v>5504</v>
      </c>
      <c r="B371" s="47" t="s">
        <v>111</v>
      </c>
      <c r="C371" s="100">
        <v>-6286</v>
      </c>
      <c r="D371" s="100">
        <v>0</v>
      </c>
      <c r="E371" s="48">
        <v>-8263</v>
      </c>
      <c r="F371" s="48">
        <v>0</v>
      </c>
      <c r="G371" s="145">
        <v>-5777</v>
      </c>
      <c r="H371" s="145">
        <v>-5500</v>
      </c>
      <c r="I371" s="145">
        <v>-2099.58</v>
      </c>
      <c r="J371" s="203">
        <v>-5500</v>
      </c>
      <c r="L371" s="305"/>
      <c r="N371" s="251"/>
    </row>
    <row r="372" spans="1:14" s="144" customFormat="1" x14ac:dyDescent="0.3">
      <c r="A372" s="55">
        <v>5511</v>
      </c>
      <c r="B372" s="47" t="s">
        <v>125</v>
      </c>
      <c r="C372" s="100">
        <v>-54939</v>
      </c>
      <c r="D372" s="100">
        <v>0</v>
      </c>
      <c r="E372" s="48">
        <v>-54260</v>
      </c>
      <c r="F372" s="48">
        <v>0</v>
      </c>
      <c r="G372" s="145">
        <v>-68649</v>
      </c>
      <c r="H372" s="145">
        <v>-63000</v>
      </c>
      <c r="I372" s="145">
        <v>-64835.09</v>
      </c>
      <c r="J372" s="203">
        <v>-60000</v>
      </c>
      <c r="L372" s="305"/>
      <c r="N372" s="251"/>
    </row>
    <row r="373" spans="1:14" s="144" customFormat="1" x14ac:dyDescent="0.3">
      <c r="A373" s="55">
        <v>5513</v>
      </c>
      <c r="B373" s="47" t="s">
        <v>112</v>
      </c>
      <c r="C373" s="100">
        <v>-1948</v>
      </c>
      <c r="D373" s="100">
        <v>0</v>
      </c>
      <c r="E373" s="48">
        <v>-2455</v>
      </c>
      <c r="F373" s="48">
        <v>0</v>
      </c>
      <c r="G373" s="145">
        <v>-2456</v>
      </c>
      <c r="H373" s="145">
        <v>-2800</v>
      </c>
      <c r="I373" s="145">
        <v>-3732.21</v>
      </c>
      <c r="J373" s="203">
        <v>-3200</v>
      </c>
      <c r="L373" s="305"/>
      <c r="N373" s="251"/>
    </row>
    <row r="374" spans="1:14" s="144" customFormat="1" x14ac:dyDescent="0.3">
      <c r="A374" s="55">
        <v>5514</v>
      </c>
      <c r="B374" s="47" t="s">
        <v>113</v>
      </c>
      <c r="C374" s="100">
        <v>-2386</v>
      </c>
      <c r="D374" s="100">
        <v>0</v>
      </c>
      <c r="E374" s="48">
        <v>-1202</v>
      </c>
      <c r="F374" s="48">
        <v>0</v>
      </c>
      <c r="G374" s="145">
        <v>-3107</v>
      </c>
      <c r="H374" s="145">
        <v>-3023</v>
      </c>
      <c r="I374" s="145">
        <v>-3863.19</v>
      </c>
      <c r="J374" s="203">
        <v>-3000</v>
      </c>
      <c r="L374" s="305"/>
      <c r="N374" s="251"/>
    </row>
    <row r="375" spans="1:14" s="144" customFormat="1" x14ac:dyDescent="0.3">
      <c r="A375" s="55">
        <v>5515</v>
      </c>
      <c r="B375" s="47" t="s">
        <v>126</v>
      </c>
      <c r="C375" s="100">
        <v>-1635</v>
      </c>
      <c r="D375" s="100">
        <v>0</v>
      </c>
      <c r="E375" s="48">
        <v>-7496</v>
      </c>
      <c r="F375" s="48">
        <v>0</v>
      </c>
      <c r="G375" s="145">
        <v>-2095</v>
      </c>
      <c r="H375" s="145">
        <v>-3000</v>
      </c>
      <c r="I375" s="145">
        <v>-2581.9299999999998</v>
      </c>
      <c r="J375" s="203">
        <v>-6000</v>
      </c>
      <c r="L375" s="305"/>
      <c r="N375" s="251"/>
    </row>
    <row r="376" spans="1:14" s="144" customFormat="1" x14ac:dyDescent="0.3">
      <c r="A376" s="55">
        <v>5521</v>
      </c>
      <c r="B376" s="47" t="s">
        <v>146</v>
      </c>
      <c r="C376" s="100">
        <v>-31183</v>
      </c>
      <c r="D376" s="100">
        <v>0</v>
      </c>
      <c r="E376" s="48">
        <v>-33533</v>
      </c>
      <c r="F376" s="48">
        <v>0</v>
      </c>
      <c r="G376" s="145">
        <v>-30842</v>
      </c>
      <c r="H376" s="145">
        <v>-32000</v>
      </c>
      <c r="I376" s="145">
        <v>-35746.74</v>
      </c>
      <c r="J376" s="203">
        <v>-35000</v>
      </c>
      <c r="L376" s="305"/>
      <c r="N376" s="251"/>
    </row>
    <row r="377" spans="1:14" s="144" customFormat="1" x14ac:dyDescent="0.3">
      <c r="A377" s="55">
        <v>5522</v>
      </c>
      <c r="B377" s="47" t="s">
        <v>237</v>
      </c>
      <c r="C377" s="100">
        <v>-511</v>
      </c>
      <c r="D377" s="100">
        <v>0</v>
      </c>
      <c r="E377" s="48">
        <v>-598</v>
      </c>
      <c r="F377" s="48">
        <v>0</v>
      </c>
      <c r="G377" s="145">
        <v>-74</v>
      </c>
      <c r="H377" s="145">
        <v>-1000</v>
      </c>
      <c r="I377" s="145">
        <v>-2125.67</v>
      </c>
      <c r="J377" s="203">
        <v>-1500</v>
      </c>
      <c r="L377" s="305"/>
      <c r="N377" s="251"/>
    </row>
    <row r="378" spans="1:14" s="144" customFormat="1" x14ac:dyDescent="0.3">
      <c r="A378" s="55">
        <v>5524</v>
      </c>
      <c r="B378" s="47" t="s">
        <v>202</v>
      </c>
      <c r="C378" s="100">
        <v>-7660</v>
      </c>
      <c r="D378" s="100">
        <v>0</v>
      </c>
      <c r="E378" s="48">
        <v>-8857</v>
      </c>
      <c r="F378" s="48">
        <v>0</v>
      </c>
      <c r="G378" s="145">
        <v>-7849</v>
      </c>
      <c r="H378" s="145">
        <v>-9000</v>
      </c>
      <c r="I378" s="145">
        <v>-8957.14</v>
      </c>
      <c r="J378" s="203">
        <v>-9000</v>
      </c>
      <c r="L378" s="305"/>
      <c r="N378" s="251"/>
    </row>
    <row r="379" spans="1:14" s="144" customFormat="1" x14ac:dyDescent="0.3">
      <c r="A379" s="55">
        <v>5525</v>
      </c>
      <c r="B379" s="47" t="s">
        <v>199</v>
      </c>
      <c r="C379" s="100">
        <v>-1270</v>
      </c>
      <c r="D379" s="100">
        <v>0</v>
      </c>
      <c r="E379" s="48">
        <v>-323</v>
      </c>
      <c r="F379" s="48">
        <v>0</v>
      </c>
      <c r="G379" s="145">
        <v>-1300</v>
      </c>
      <c r="H379" s="145">
        <v>-1000</v>
      </c>
      <c r="I379" s="145">
        <v>-1092.17</v>
      </c>
      <c r="J379" s="203">
        <v>-1500</v>
      </c>
      <c r="L379" s="305"/>
      <c r="N379" s="251"/>
    </row>
    <row r="380" spans="1:14" s="144" customFormat="1" x14ac:dyDescent="0.3">
      <c r="A380" s="55">
        <v>5532</v>
      </c>
      <c r="B380" s="47" t="s">
        <v>150</v>
      </c>
      <c r="C380" s="100"/>
      <c r="D380" s="100"/>
      <c r="E380" s="48"/>
      <c r="F380" s="48"/>
      <c r="G380" s="145">
        <v>-175</v>
      </c>
      <c r="H380" s="145"/>
      <c r="I380" s="145"/>
      <c r="J380" s="203"/>
      <c r="K380" s="326"/>
      <c r="L380" s="327"/>
      <c r="N380" s="251"/>
    </row>
    <row r="381" spans="1:14" s="144" customFormat="1" x14ac:dyDescent="0.3">
      <c r="A381" s="55">
        <v>5539</v>
      </c>
      <c r="B381" s="47" t="s">
        <v>128</v>
      </c>
      <c r="C381" s="100">
        <v>-420</v>
      </c>
      <c r="D381" s="100">
        <v>0</v>
      </c>
      <c r="E381" s="48">
        <v>0</v>
      </c>
      <c r="F381" s="48">
        <v>0</v>
      </c>
      <c r="G381" s="145">
        <v>0</v>
      </c>
      <c r="H381" s="145">
        <v>-600</v>
      </c>
      <c r="I381" s="145"/>
      <c r="J381" s="203">
        <v>-600</v>
      </c>
      <c r="L381" s="305"/>
      <c r="N381" s="251"/>
    </row>
    <row r="382" spans="1:14" x14ac:dyDescent="0.3">
      <c r="A382" s="53" t="s">
        <v>262</v>
      </c>
      <c r="B382" s="53" t="s">
        <v>263</v>
      </c>
      <c r="C382" s="54">
        <f t="shared" ref="C382:F382" si="108">SUM(C383:C398)</f>
        <v>0</v>
      </c>
      <c r="D382" s="54">
        <f t="shared" si="108"/>
        <v>-39303</v>
      </c>
      <c r="E382" s="54">
        <f t="shared" si="108"/>
        <v>0</v>
      </c>
      <c r="F382" s="54">
        <f t="shared" si="108"/>
        <v>-41824</v>
      </c>
      <c r="G382" s="54">
        <f>SUM(G385:G398)+G383</f>
        <v>-302929</v>
      </c>
      <c r="H382" s="54">
        <f>SUM(H385:H398)+H383</f>
        <v>-370843</v>
      </c>
      <c r="I382" s="54">
        <f>SUM(I385:I398)+I383</f>
        <v>-342313.05999999994</v>
      </c>
      <c r="J382" s="54">
        <f>SUM(J385:J398)+J383</f>
        <v>-389010</v>
      </c>
      <c r="K382" s="349"/>
    </row>
    <row r="383" spans="1:14" s="144" customFormat="1" x14ac:dyDescent="0.3">
      <c r="A383" s="10">
        <v>5002</v>
      </c>
      <c r="B383" s="10" t="s">
        <v>172</v>
      </c>
      <c r="C383" s="99">
        <v>0</v>
      </c>
      <c r="D383" s="31">
        <v>-26024</v>
      </c>
      <c r="E383" s="48">
        <v>0</v>
      </c>
      <c r="F383" s="31">
        <v>-29580</v>
      </c>
      <c r="G383" s="145">
        <v>-171923</v>
      </c>
      <c r="H383" s="145">
        <v>-201161</v>
      </c>
      <c r="I383" s="145">
        <v>-190293.4</v>
      </c>
      <c r="J383" s="203">
        <v>-213852</v>
      </c>
      <c r="K383" s="350"/>
      <c r="L383" s="305"/>
      <c r="N383" s="251"/>
    </row>
    <row r="384" spans="1:14" s="161" customFormat="1" ht="13" x14ac:dyDescent="0.3">
      <c r="A384" s="155" t="s">
        <v>122</v>
      </c>
      <c r="B384" s="156" t="s">
        <v>227</v>
      </c>
      <c r="C384" s="157"/>
      <c r="D384" s="159"/>
      <c r="E384" s="158"/>
      <c r="F384" s="159"/>
      <c r="G384" s="163">
        <v>-3489</v>
      </c>
      <c r="H384" s="163">
        <v>-3446</v>
      </c>
      <c r="I384" s="163"/>
      <c r="J384" s="283">
        <v>-3566</v>
      </c>
      <c r="L384" s="304"/>
      <c r="N384" s="249"/>
    </row>
    <row r="385" spans="1:14" s="144" customFormat="1" x14ac:dyDescent="0.3">
      <c r="A385" s="10">
        <v>5005</v>
      </c>
      <c r="B385" s="10" t="s">
        <v>123</v>
      </c>
      <c r="C385" s="99">
        <v>0</v>
      </c>
      <c r="D385" s="31">
        <v>-154</v>
      </c>
      <c r="E385" s="48">
        <v>0</v>
      </c>
      <c r="F385" s="31">
        <v>0</v>
      </c>
      <c r="G385" s="145">
        <v>-616</v>
      </c>
      <c r="H385" s="145">
        <v>-1200</v>
      </c>
      <c r="I385" s="145">
        <v>-3561.16</v>
      </c>
      <c r="J385" s="203">
        <v>-2000</v>
      </c>
      <c r="L385" s="305"/>
      <c r="N385" s="251"/>
    </row>
    <row r="386" spans="1:14" s="144" customFormat="1" x14ac:dyDescent="0.3">
      <c r="A386" s="10">
        <v>506</v>
      </c>
      <c r="B386" s="10" t="s">
        <v>108</v>
      </c>
      <c r="C386" s="99">
        <v>0</v>
      </c>
      <c r="D386" s="31">
        <v>-9169</v>
      </c>
      <c r="E386" s="48">
        <v>0</v>
      </c>
      <c r="F386" s="31">
        <v>-10313</v>
      </c>
      <c r="G386" s="145">
        <v>-58407</v>
      </c>
      <c r="H386" s="145">
        <v>-67992</v>
      </c>
      <c r="I386" s="145">
        <v>-64898.86</v>
      </c>
      <c r="J386" s="203">
        <v>-72958</v>
      </c>
      <c r="K386" s="296"/>
      <c r="L386" s="328"/>
      <c r="N386" s="251"/>
    </row>
    <row r="387" spans="1:14" s="144" customFormat="1" x14ac:dyDescent="0.3">
      <c r="A387" s="10">
        <v>5500</v>
      </c>
      <c r="B387" s="10" t="s">
        <v>109</v>
      </c>
      <c r="C387" s="99">
        <v>0</v>
      </c>
      <c r="D387" s="31">
        <v>-105</v>
      </c>
      <c r="E387" s="48">
        <v>0</v>
      </c>
      <c r="F387" s="31">
        <v>-283</v>
      </c>
      <c r="G387" s="145">
        <v>-1040</v>
      </c>
      <c r="H387" s="145">
        <v>-1320</v>
      </c>
      <c r="I387" s="145">
        <v>-948.99</v>
      </c>
      <c r="J387" s="203">
        <v>-1400</v>
      </c>
      <c r="L387" s="305"/>
      <c r="N387" s="251"/>
    </row>
    <row r="388" spans="1:14" s="144" customFormat="1" x14ac:dyDescent="0.3">
      <c r="A388" s="10">
        <v>5504</v>
      </c>
      <c r="B388" s="10" t="s">
        <v>111</v>
      </c>
      <c r="C388" s="99">
        <v>0</v>
      </c>
      <c r="D388" s="31">
        <v>-292</v>
      </c>
      <c r="E388" s="48">
        <v>0</v>
      </c>
      <c r="F388" s="31">
        <v>0</v>
      </c>
      <c r="G388" s="145">
        <v>-1315</v>
      </c>
      <c r="H388" s="145">
        <v>-2600</v>
      </c>
      <c r="I388" s="145">
        <v>-1462.55</v>
      </c>
      <c r="J388" s="203">
        <v>-2600</v>
      </c>
      <c r="L388" s="305"/>
      <c r="N388" s="251"/>
    </row>
    <row r="389" spans="1:14" s="144" customFormat="1" x14ac:dyDescent="0.3">
      <c r="A389" s="10">
        <v>5511</v>
      </c>
      <c r="B389" s="10" t="s">
        <v>125</v>
      </c>
      <c r="C389" s="99">
        <v>0</v>
      </c>
      <c r="D389" s="31">
        <v>-851</v>
      </c>
      <c r="E389" s="48">
        <v>0</v>
      </c>
      <c r="F389" s="31">
        <v>-599</v>
      </c>
      <c r="G389" s="145">
        <v>-44287</v>
      </c>
      <c r="H389" s="145">
        <v>-56000</v>
      </c>
      <c r="I389" s="145">
        <v>-43691.92</v>
      </c>
      <c r="J389" s="203">
        <v>-55000</v>
      </c>
      <c r="L389" s="305"/>
      <c r="N389" s="251"/>
    </row>
    <row r="390" spans="1:14" s="144" customFormat="1" x14ac:dyDescent="0.3">
      <c r="A390" s="10">
        <v>5513</v>
      </c>
      <c r="B390" s="10" t="s">
        <v>112</v>
      </c>
      <c r="C390" s="99">
        <v>0</v>
      </c>
      <c r="D390" s="31">
        <v>0</v>
      </c>
      <c r="E390" s="48">
        <v>0</v>
      </c>
      <c r="F390" s="31">
        <v>0</v>
      </c>
      <c r="G390" s="145">
        <v>-2273</v>
      </c>
      <c r="H390" s="145">
        <v>-3700</v>
      </c>
      <c r="I390" s="145">
        <v>-1660.75</v>
      </c>
      <c r="J390" s="203">
        <v>-3700</v>
      </c>
      <c r="L390" s="305"/>
      <c r="N390" s="251"/>
    </row>
    <row r="391" spans="1:14" s="144" customFormat="1" x14ac:dyDescent="0.3">
      <c r="A391" s="10">
        <v>5514</v>
      </c>
      <c r="B391" s="10" t="s">
        <v>113</v>
      </c>
      <c r="C391" s="99">
        <v>0</v>
      </c>
      <c r="D391" s="31">
        <v>0</v>
      </c>
      <c r="E391" s="48">
        <v>0</v>
      </c>
      <c r="F391" s="31">
        <v>0</v>
      </c>
      <c r="G391" s="145">
        <v>-1676</v>
      </c>
      <c r="H391" s="145">
        <v>-3000</v>
      </c>
      <c r="I391" s="145">
        <v>-3436.19</v>
      </c>
      <c r="J391" s="203">
        <v>-7000</v>
      </c>
      <c r="L391" s="305"/>
      <c r="N391" s="251"/>
    </row>
    <row r="392" spans="1:14" s="144" customFormat="1" x14ac:dyDescent="0.3">
      <c r="A392" s="10">
        <v>5515</v>
      </c>
      <c r="B392" s="10" t="s">
        <v>126</v>
      </c>
      <c r="C392" s="99">
        <v>0</v>
      </c>
      <c r="D392" s="31">
        <v>-1560</v>
      </c>
      <c r="E392" s="48">
        <v>0</v>
      </c>
      <c r="F392" s="31">
        <v>-55</v>
      </c>
      <c r="G392" s="145">
        <v>-6301</v>
      </c>
      <c r="H392" s="145">
        <v>-12500</v>
      </c>
      <c r="I392" s="145">
        <v>-15020.34</v>
      </c>
      <c r="J392" s="203">
        <v>-7000</v>
      </c>
      <c r="L392" s="305"/>
      <c r="N392" s="251"/>
    </row>
    <row r="393" spans="1:14" s="144" customFormat="1" x14ac:dyDescent="0.3">
      <c r="A393" s="10">
        <v>5521</v>
      </c>
      <c r="B393" s="10" t="s">
        <v>146</v>
      </c>
      <c r="C393" s="99"/>
      <c r="D393" s="31"/>
      <c r="E393" s="48"/>
      <c r="F393" s="31"/>
      <c r="G393" s="145">
        <v>-7289</v>
      </c>
      <c r="H393" s="145">
        <v>-10370</v>
      </c>
      <c r="I393" s="145">
        <v>-10439.799999999999</v>
      </c>
      <c r="J393" s="203">
        <v>-12500</v>
      </c>
      <c r="L393" s="305"/>
      <c r="N393" s="251"/>
    </row>
    <row r="394" spans="1:14" s="144" customFormat="1" x14ac:dyDescent="0.3">
      <c r="A394" s="10">
        <v>5522</v>
      </c>
      <c r="B394" s="10" t="s">
        <v>127</v>
      </c>
      <c r="C394" s="99">
        <v>0</v>
      </c>
      <c r="D394" s="31">
        <v>-39</v>
      </c>
      <c r="E394" s="48">
        <v>0</v>
      </c>
      <c r="F394" s="31">
        <v>-10</v>
      </c>
      <c r="G394" s="145">
        <v>-160</v>
      </c>
      <c r="H394" s="145">
        <v>-300</v>
      </c>
      <c r="I394" s="145">
        <v>-96.67</v>
      </c>
      <c r="J394" s="203">
        <v>-300</v>
      </c>
      <c r="L394" s="305"/>
      <c r="N394" s="251"/>
    </row>
    <row r="395" spans="1:14" s="144" customFormat="1" x14ac:dyDescent="0.3">
      <c r="A395" s="10">
        <v>5524</v>
      </c>
      <c r="B395" s="10" t="s">
        <v>202</v>
      </c>
      <c r="C395" s="99">
        <v>0</v>
      </c>
      <c r="D395" s="31">
        <v>-391</v>
      </c>
      <c r="E395" s="48">
        <v>0</v>
      </c>
      <c r="F395" s="31">
        <v>-235</v>
      </c>
      <c r="G395" s="145">
        <v>-3538</v>
      </c>
      <c r="H395" s="145">
        <v>-4050</v>
      </c>
      <c r="I395" s="145">
        <v>-2291.8000000000002</v>
      </c>
      <c r="J395" s="203">
        <v>-4050</v>
      </c>
      <c r="L395" s="305"/>
      <c r="N395" s="251"/>
    </row>
    <row r="396" spans="1:14" s="144" customFormat="1" x14ac:dyDescent="0.3">
      <c r="A396" s="10">
        <v>5525</v>
      </c>
      <c r="B396" s="10" t="s">
        <v>199</v>
      </c>
      <c r="C396" s="99">
        <v>0</v>
      </c>
      <c r="D396" s="31">
        <v>-75</v>
      </c>
      <c r="E396" s="48">
        <v>0</v>
      </c>
      <c r="F396" s="31">
        <v>-60</v>
      </c>
      <c r="G396" s="145">
        <v>-659</v>
      </c>
      <c r="H396" s="145">
        <v>-1050</v>
      </c>
      <c r="I396" s="145">
        <v>-645.36</v>
      </c>
      <c r="J396" s="203">
        <v>-1050</v>
      </c>
      <c r="L396" s="305"/>
      <c r="N396" s="251"/>
    </row>
    <row r="397" spans="1:14" s="144" customFormat="1" x14ac:dyDescent="0.3">
      <c r="A397" s="10">
        <v>5532</v>
      </c>
      <c r="B397" s="10" t="s">
        <v>150</v>
      </c>
      <c r="C397" s="99"/>
      <c r="D397" s="31"/>
      <c r="E397" s="48"/>
      <c r="F397" s="31"/>
      <c r="G397" s="145">
        <v>0</v>
      </c>
      <c r="H397" s="145">
        <v>-200</v>
      </c>
      <c r="I397" s="145">
        <v>-36.9</v>
      </c>
      <c r="J397" s="203">
        <v>-200</v>
      </c>
      <c r="L397" s="305"/>
      <c r="N397" s="251"/>
    </row>
    <row r="398" spans="1:14" s="144" customFormat="1" x14ac:dyDescent="0.3">
      <c r="A398" s="10">
        <v>5540</v>
      </c>
      <c r="B398" s="10" t="s">
        <v>129</v>
      </c>
      <c r="C398" s="99">
        <v>0</v>
      </c>
      <c r="D398" s="31">
        <v>-643</v>
      </c>
      <c r="E398" s="48">
        <v>0</v>
      </c>
      <c r="F398" s="31">
        <v>-689</v>
      </c>
      <c r="G398" s="145">
        <v>-3445</v>
      </c>
      <c r="H398" s="145">
        <v>-5400</v>
      </c>
      <c r="I398" s="145">
        <v>-3828.37</v>
      </c>
      <c r="J398" s="203">
        <v>-5400</v>
      </c>
      <c r="K398" s="326"/>
      <c r="L398" s="327"/>
      <c r="N398" s="251"/>
    </row>
    <row r="399" spans="1:14" hidden="1" x14ac:dyDescent="0.3">
      <c r="A399" s="53" t="s">
        <v>264</v>
      </c>
      <c r="B399" s="53" t="s">
        <v>265</v>
      </c>
      <c r="C399" s="54">
        <f t="shared" ref="C399:F399" si="109">SUM(C400:C415)</f>
        <v>0</v>
      </c>
      <c r="D399" s="54">
        <f t="shared" si="109"/>
        <v>-83491</v>
      </c>
      <c r="E399" s="54">
        <f t="shared" si="109"/>
        <v>0</v>
      </c>
      <c r="F399" s="54">
        <f t="shared" si="109"/>
        <v>-106017</v>
      </c>
      <c r="G399" s="54">
        <f>SUM(G402:G415)+G400</f>
        <v>0</v>
      </c>
      <c r="H399" s="54">
        <f>SUM(H402:H415)+H400</f>
        <v>0</v>
      </c>
      <c r="I399" s="54"/>
      <c r="J399" s="202"/>
      <c r="K399" s="288"/>
      <c r="L399" s="292"/>
    </row>
    <row r="400" spans="1:14" s="144" customFormat="1" hidden="1" x14ac:dyDescent="0.3">
      <c r="A400" s="10">
        <v>5002</v>
      </c>
      <c r="B400" s="10" t="s">
        <v>172</v>
      </c>
      <c r="C400" s="99">
        <v>0</v>
      </c>
      <c r="D400" s="31">
        <v>-41360</v>
      </c>
      <c r="E400" s="48">
        <v>0</v>
      </c>
      <c r="F400" s="31">
        <v>-56811</v>
      </c>
      <c r="G400" s="145"/>
      <c r="H400" s="145"/>
      <c r="I400" s="145"/>
      <c r="J400" s="203"/>
      <c r="K400" s="296"/>
      <c r="L400" s="299"/>
      <c r="N400" s="251"/>
    </row>
    <row r="401" spans="1:14" s="161" customFormat="1" ht="13" hidden="1" x14ac:dyDescent="0.3">
      <c r="A401" s="155" t="s">
        <v>122</v>
      </c>
      <c r="B401" s="156" t="s">
        <v>227</v>
      </c>
      <c r="C401" s="157"/>
      <c r="D401" s="159"/>
      <c r="E401" s="158"/>
      <c r="F401" s="159"/>
      <c r="G401" s="163"/>
      <c r="H401" s="163"/>
      <c r="I401" s="163"/>
      <c r="J401" s="203"/>
      <c r="K401" s="333"/>
      <c r="L401" s="334"/>
      <c r="N401" s="249"/>
    </row>
    <row r="402" spans="1:14" s="144" customFormat="1" hidden="1" x14ac:dyDescent="0.3">
      <c r="A402" s="10">
        <v>5005</v>
      </c>
      <c r="B402" s="10" t="s">
        <v>123</v>
      </c>
      <c r="C402" s="99">
        <v>0</v>
      </c>
      <c r="D402" s="31">
        <v>-1781</v>
      </c>
      <c r="E402" s="48">
        <v>0</v>
      </c>
      <c r="F402" s="31">
        <v>-3024</v>
      </c>
      <c r="G402" s="145"/>
      <c r="H402" s="145"/>
      <c r="I402" s="145"/>
      <c r="J402" s="203"/>
      <c r="K402" s="296"/>
      <c r="L402" s="299"/>
      <c r="N402" s="251"/>
    </row>
    <row r="403" spans="1:14" s="144" customFormat="1" hidden="1" x14ac:dyDescent="0.3">
      <c r="A403" s="10">
        <v>506</v>
      </c>
      <c r="B403" s="10" t="s">
        <v>108</v>
      </c>
      <c r="C403" s="99">
        <v>0</v>
      </c>
      <c r="D403" s="31">
        <v>-13787</v>
      </c>
      <c r="E403" s="48">
        <v>0</v>
      </c>
      <c r="F403" s="31">
        <v>-19672</v>
      </c>
      <c r="G403" s="145"/>
      <c r="H403" s="145"/>
      <c r="I403" s="145"/>
      <c r="J403" s="203"/>
      <c r="K403" s="296"/>
      <c r="L403" s="299"/>
      <c r="N403" s="251"/>
    </row>
    <row r="404" spans="1:14" s="144" customFormat="1" hidden="1" x14ac:dyDescent="0.3">
      <c r="A404" s="10">
        <v>5500</v>
      </c>
      <c r="B404" s="10" t="s">
        <v>109</v>
      </c>
      <c r="C404" s="99">
        <v>0</v>
      </c>
      <c r="D404" s="31">
        <v>-241</v>
      </c>
      <c r="E404" s="48">
        <v>0</v>
      </c>
      <c r="F404" s="31">
        <v>-303</v>
      </c>
      <c r="G404" s="145"/>
      <c r="H404" s="145"/>
      <c r="I404" s="145"/>
      <c r="J404" s="203"/>
      <c r="K404" s="296"/>
      <c r="L404" s="299"/>
      <c r="N404" s="251"/>
    </row>
    <row r="405" spans="1:14" s="144" customFormat="1" hidden="1" x14ac:dyDescent="0.3">
      <c r="A405" s="10">
        <v>5504</v>
      </c>
      <c r="B405" s="10" t="s">
        <v>111</v>
      </c>
      <c r="C405" s="99">
        <v>0</v>
      </c>
      <c r="D405" s="31">
        <v>-278</v>
      </c>
      <c r="E405" s="48">
        <v>0</v>
      </c>
      <c r="F405" s="31">
        <v>-120</v>
      </c>
      <c r="G405" s="145"/>
      <c r="H405" s="145"/>
      <c r="I405" s="145"/>
      <c r="J405" s="203"/>
      <c r="K405" s="296"/>
      <c r="L405" s="299"/>
      <c r="N405" s="251"/>
    </row>
    <row r="406" spans="1:14" s="144" customFormat="1" hidden="1" x14ac:dyDescent="0.3">
      <c r="A406" s="10">
        <v>5511</v>
      </c>
      <c r="B406" s="10" t="s">
        <v>125</v>
      </c>
      <c r="C406" s="99">
        <v>0</v>
      </c>
      <c r="D406" s="31">
        <v>-15659</v>
      </c>
      <c r="E406" s="48">
        <v>0</v>
      </c>
      <c r="F406" s="31">
        <v>-13826</v>
      </c>
      <c r="G406" s="145"/>
      <c r="H406" s="145"/>
      <c r="I406" s="145"/>
      <c r="J406" s="203"/>
      <c r="K406" s="296"/>
      <c r="L406" s="299"/>
      <c r="N406" s="251"/>
    </row>
    <row r="407" spans="1:14" s="144" customFormat="1" hidden="1" x14ac:dyDescent="0.3">
      <c r="A407" s="10">
        <v>5513</v>
      </c>
      <c r="B407" s="10" t="s">
        <v>112</v>
      </c>
      <c r="C407" s="99">
        <v>0</v>
      </c>
      <c r="D407" s="31">
        <v>-714</v>
      </c>
      <c r="E407" s="48">
        <v>0</v>
      </c>
      <c r="F407" s="31">
        <v>-1534</v>
      </c>
      <c r="G407" s="145"/>
      <c r="H407" s="145"/>
      <c r="I407" s="145"/>
      <c r="J407" s="203"/>
      <c r="K407" s="296"/>
      <c r="L407" s="299"/>
      <c r="N407" s="251"/>
    </row>
    <row r="408" spans="1:14" s="144" customFormat="1" hidden="1" x14ac:dyDescent="0.3">
      <c r="A408" s="10">
        <v>5514</v>
      </c>
      <c r="B408" s="10" t="s">
        <v>113</v>
      </c>
      <c r="C408" s="99">
        <v>0</v>
      </c>
      <c r="D408" s="31">
        <v>-426</v>
      </c>
      <c r="E408" s="48">
        <v>0</v>
      </c>
      <c r="F408" s="31">
        <v>-288</v>
      </c>
      <c r="G408" s="145"/>
      <c r="H408" s="145"/>
      <c r="I408" s="145"/>
      <c r="J408" s="203"/>
      <c r="K408" s="296"/>
      <c r="L408" s="299"/>
      <c r="N408" s="251"/>
    </row>
    <row r="409" spans="1:14" s="144" customFormat="1" hidden="1" x14ac:dyDescent="0.3">
      <c r="A409" s="10">
        <v>5515</v>
      </c>
      <c r="B409" s="10" t="s">
        <v>126</v>
      </c>
      <c r="C409" s="99">
        <v>0</v>
      </c>
      <c r="D409" s="31">
        <v>-999</v>
      </c>
      <c r="E409" s="48">
        <v>0</v>
      </c>
      <c r="F409" s="31">
        <v>-1237</v>
      </c>
      <c r="G409" s="145"/>
      <c r="H409" s="145"/>
      <c r="I409" s="145"/>
      <c r="J409" s="203"/>
      <c r="K409" s="296"/>
      <c r="L409" s="299"/>
      <c r="N409" s="251"/>
    </row>
    <row r="410" spans="1:14" s="144" customFormat="1" hidden="1" x14ac:dyDescent="0.3">
      <c r="A410" s="10">
        <v>5521</v>
      </c>
      <c r="B410" s="10" t="s">
        <v>146</v>
      </c>
      <c r="C410" s="99">
        <v>0</v>
      </c>
      <c r="D410" s="31">
        <v>-5444</v>
      </c>
      <c r="E410" s="48">
        <v>0</v>
      </c>
      <c r="F410" s="31">
        <v>-5314</v>
      </c>
      <c r="G410" s="145"/>
      <c r="H410" s="145"/>
      <c r="I410" s="145"/>
      <c r="J410" s="203"/>
      <c r="K410" s="296"/>
      <c r="L410" s="299"/>
      <c r="N410" s="251"/>
    </row>
    <row r="411" spans="1:14" s="144" customFormat="1" hidden="1" x14ac:dyDescent="0.3">
      <c r="A411" s="10">
        <v>5522</v>
      </c>
      <c r="B411" s="10" t="s">
        <v>127</v>
      </c>
      <c r="C411" s="99">
        <v>0</v>
      </c>
      <c r="D411" s="31">
        <v>-95</v>
      </c>
      <c r="E411" s="48">
        <v>0</v>
      </c>
      <c r="F411" s="31">
        <v>-43</v>
      </c>
      <c r="G411" s="145"/>
      <c r="H411" s="145"/>
      <c r="I411" s="145"/>
      <c r="J411" s="203"/>
      <c r="K411" s="296"/>
      <c r="L411" s="299"/>
      <c r="N411" s="251"/>
    </row>
    <row r="412" spans="1:14" s="144" customFormat="1" hidden="1" x14ac:dyDescent="0.3">
      <c r="A412" s="10">
        <v>5524</v>
      </c>
      <c r="B412" s="10" t="s">
        <v>202</v>
      </c>
      <c r="C412" s="99">
        <v>0</v>
      </c>
      <c r="D412" s="31">
        <v>-1262</v>
      </c>
      <c r="E412" s="48">
        <v>0</v>
      </c>
      <c r="F412" s="31">
        <v>-1725</v>
      </c>
      <c r="G412" s="145"/>
      <c r="H412" s="145"/>
      <c r="I412" s="145"/>
      <c r="J412" s="203"/>
      <c r="K412" s="296"/>
      <c r="L412" s="299"/>
      <c r="N412" s="251"/>
    </row>
    <row r="413" spans="1:14" s="144" customFormat="1" hidden="1" x14ac:dyDescent="0.3">
      <c r="A413" s="10">
        <v>5525</v>
      </c>
      <c r="B413" s="10" t="s">
        <v>199</v>
      </c>
      <c r="C413" s="99">
        <v>0</v>
      </c>
      <c r="D413" s="31">
        <v>-75</v>
      </c>
      <c r="E413" s="48">
        <v>0</v>
      </c>
      <c r="F413" s="31">
        <v>-162</v>
      </c>
      <c r="G413" s="145"/>
      <c r="H413" s="145"/>
      <c r="I413" s="145"/>
      <c r="J413" s="203"/>
      <c r="K413" s="296"/>
      <c r="L413" s="299"/>
      <c r="N413" s="251"/>
    </row>
    <row r="414" spans="1:14" s="144" customFormat="1" hidden="1" x14ac:dyDescent="0.3">
      <c r="A414" s="10">
        <v>5532</v>
      </c>
      <c r="B414" s="10" t="s">
        <v>150</v>
      </c>
      <c r="C414" s="99">
        <v>0</v>
      </c>
      <c r="D414" s="31">
        <v>0</v>
      </c>
      <c r="E414" s="48">
        <v>0</v>
      </c>
      <c r="F414" s="31">
        <v>-79</v>
      </c>
      <c r="G414" s="145"/>
      <c r="H414" s="145"/>
      <c r="I414" s="145"/>
      <c r="J414" s="203"/>
      <c r="K414" s="296"/>
      <c r="L414" s="299"/>
      <c r="N414" s="251"/>
    </row>
    <row r="415" spans="1:14" s="144" customFormat="1" hidden="1" x14ac:dyDescent="0.3">
      <c r="A415" s="10">
        <v>5540</v>
      </c>
      <c r="B415" s="10" t="s">
        <v>129</v>
      </c>
      <c r="C415" s="99">
        <v>0</v>
      </c>
      <c r="D415" s="31">
        <v>-1370</v>
      </c>
      <c r="E415" s="48">
        <v>0</v>
      </c>
      <c r="F415" s="31">
        <v>-1879</v>
      </c>
      <c r="G415" s="145"/>
      <c r="H415" s="145"/>
      <c r="I415" s="145"/>
      <c r="J415" s="203"/>
      <c r="K415" s="296"/>
      <c r="L415" s="299"/>
      <c r="N415" s="251"/>
    </row>
    <row r="416" spans="1:14" hidden="1" x14ac:dyDescent="0.3">
      <c r="A416" s="53" t="s">
        <v>266</v>
      </c>
      <c r="B416" s="53" t="s">
        <v>267</v>
      </c>
      <c r="C416" s="54">
        <f t="shared" ref="C416:F416" si="110">SUM(C417:C432)</f>
        <v>0</v>
      </c>
      <c r="D416" s="54">
        <f t="shared" si="110"/>
        <v>-76064</v>
      </c>
      <c r="E416" s="54">
        <f t="shared" si="110"/>
        <v>0</v>
      </c>
      <c r="F416" s="54">
        <f t="shared" si="110"/>
        <v>-80546</v>
      </c>
      <c r="G416" s="54">
        <f>SUM(G419:G432)+G417</f>
        <v>0</v>
      </c>
      <c r="H416" s="54">
        <f>SUM(H419:H432)+H417</f>
        <v>0</v>
      </c>
      <c r="I416" s="54"/>
      <c r="J416" s="202"/>
      <c r="K416" s="288"/>
      <c r="L416" s="292"/>
    </row>
    <row r="417" spans="1:14" s="144" customFormat="1" hidden="1" x14ac:dyDescent="0.3">
      <c r="A417" s="10">
        <v>5002</v>
      </c>
      <c r="B417" s="10" t="s">
        <v>172</v>
      </c>
      <c r="C417" s="99">
        <v>0</v>
      </c>
      <c r="D417" s="31">
        <v>-40769</v>
      </c>
      <c r="E417" s="48">
        <v>0</v>
      </c>
      <c r="F417" s="31">
        <v>-46145</v>
      </c>
      <c r="G417" s="145"/>
      <c r="H417" s="145"/>
      <c r="I417" s="145"/>
      <c r="J417" s="203"/>
      <c r="K417" s="296"/>
      <c r="L417" s="299"/>
      <c r="N417" s="251"/>
    </row>
    <row r="418" spans="1:14" s="161" customFormat="1" ht="13" hidden="1" x14ac:dyDescent="0.3">
      <c r="A418" s="155" t="s">
        <v>122</v>
      </c>
      <c r="B418" s="156" t="s">
        <v>227</v>
      </c>
      <c r="C418" s="157"/>
      <c r="D418" s="159"/>
      <c r="E418" s="158"/>
      <c r="F418" s="159"/>
      <c r="G418" s="163"/>
      <c r="H418" s="163"/>
      <c r="I418" s="163"/>
      <c r="J418" s="203"/>
      <c r="K418" s="333"/>
      <c r="L418" s="334"/>
      <c r="N418" s="249"/>
    </row>
    <row r="419" spans="1:14" s="144" customFormat="1" hidden="1" x14ac:dyDescent="0.3">
      <c r="A419" s="10">
        <v>5005</v>
      </c>
      <c r="B419" s="10" t="s">
        <v>123</v>
      </c>
      <c r="C419" s="99">
        <v>0</v>
      </c>
      <c r="D419" s="31">
        <v>0</v>
      </c>
      <c r="E419" s="48">
        <v>0</v>
      </c>
      <c r="F419" s="31">
        <v>0</v>
      </c>
      <c r="G419" s="145"/>
      <c r="H419" s="145"/>
      <c r="I419" s="145"/>
      <c r="J419" s="203"/>
      <c r="K419" s="296"/>
      <c r="L419" s="299"/>
      <c r="N419" s="251"/>
    </row>
    <row r="420" spans="1:14" s="144" customFormat="1" hidden="1" x14ac:dyDescent="0.3">
      <c r="A420" s="10">
        <v>506</v>
      </c>
      <c r="B420" s="10" t="s">
        <v>108</v>
      </c>
      <c r="C420" s="99">
        <v>0</v>
      </c>
      <c r="D420" s="31">
        <v>-13611</v>
      </c>
      <c r="E420" s="48">
        <v>0</v>
      </c>
      <c r="F420" s="31">
        <v>-15438</v>
      </c>
      <c r="G420" s="145"/>
      <c r="H420" s="145"/>
      <c r="I420" s="145"/>
      <c r="J420" s="203"/>
      <c r="K420" s="296"/>
      <c r="L420" s="299"/>
      <c r="N420" s="251"/>
    </row>
    <row r="421" spans="1:14" s="144" customFormat="1" hidden="1" x14ac:dyDescent="0.3">
      <c r="A421" s="10">
        <v>5500</v>
      </c>
      <c r="B421" s="10" t="s">
        <v>109</v>
      </c>
      <c r="C421" s="99">
        <v>0</v>
      </c>
      <c r="D421" s="31">
        <v>-80</v>
      </c>
      <c r="E421" s="48">
        <v>0</v>
      </c>
      <c r="F421" s="31">
        <v>-221</v>
      </c>
      <c r="G421" s="145"/>
      <c r="H421" s="145"/>
      <c r="I421" s="145"/>
      <c r="J421" s="203"/>
      <c r="K421" s="296"/>
      <c r="L421" s="299"/>
      <c r="N421" s="251"/>
    </row>
    <row r="422" spans="1:14" s="144" customFormat="1" hidden="1" x14ac:dyDescent="0.3">
      <c r="A422" s="10">
        <v>5504</v>
      </c>
      <c r="B422" s="10" t="s">
        <v>111</v>
      </c>
      <c r="C422" s="99">
        <v>0</v>
      </c>
      <c r="D422" s="31">
        <v>-257</v>
      </c>
      <c r="E422" s="48">
        <v>0</v>
      </c>
      <c r="F422" s="31">
        <v>-52</v>
      </c>
      <c r="G422" s="145"/>
      <c r="H422" s="145"/>
      <c r="I422" s="145"/>
      <c r="J422" s="203"/>
      <c r="K422" s="296"/>
      <c r="L422" s="299"/>
      <c r="N422" s="251"/>
    </row>
    <row r="423" spans="1:14" s="144" customFormat="1" hidden="1" x14ac:dyDescent="0.3">
      <c r="A423" s="10">
        <v>5511</v>
      </c>
      <c r="B423" s="10" t="s">
        <v>125</v>
      </c>
      <c r="C423" s="99">
        <v>0</v>
      </c>
      <c r="D423" s="31">
        <v>-16614</v>
      </c>
      <c r="E423" s="48">
        <v>0</v>
      </c>
      <c r="F423" s="31">
        <v>-14872</v>
      </c>
      <c r="G423" s="145"/>
      <c r="H423" s="145"/>
      <c r="I423" s="145"/>
      <c r="J423" s="203"/>
      <c r="K423" s="296"/>
      <c r="L423" s="299"/>
      <c r="N423" s="251"/>
    </row>
    <row r="424" spans="1:14" s="144" customFormat="1" hidden="1" x14ac:dyDescent="0.3">
      <c r="A424" s="10">
        <v>5513</v>
      </c>
      <c r="B424" s="10" t="s">
        <v>112</v>
      </c>
      <c r="C424" s="99">
        <v>0</v>
      </c>
      <c r="D424" s="31">
        <v>0</v>
      </c>
      <c r="E424" s="48">
        <v>0</v>
      </c>
      <c r="F424" s="31">
        <v>0</v>
      </c>
      <c r="G424" s="145"/>
      <c r="H424" s="145"/>
      <c r="I424" s="145"/>
      <c r="J424" s="203"/>
      <c r="K424" s="296"/>
      <c r="L424" s="299"/>
      <c r="N424" s="251"/>
    </row>
    <row r="425" spans="1:14" s="144" customFormat="1" hidden="1" x14ac:dyDescent="0.3">
      <c r="A425" s="10">
        <v>5514</v>
      </c>
      <c r="B425" s="10" t="s">
        <v>113</v>
      </c>
      <c r="C425" s="99">
        <v>0</v>
      </c>
      <c r="D425" s="31">
        <v>-582</v>
      </c>
      <c r="E425" s="48">
        <v>0</v>
      </c>
      <c r="F425" s="31">
        <v>-258</v>
      </c>
      <c r="G425" s="145"/>
      <c r="H425" s="145"/>
      <c r="I425" s="145"/>
      <c r="J425" s="203"/>
      <c r="K425" s="296"/>
      <c r="L425" s="299"/>
      <c r="N425" s="251"/>
    </row>
    <row r="426" spans="1:14" s="144" customFormat="1" hidden="1" x14ac:dyDescent="0.3">
      <c r="A426" s="10">
        <v>5515</v>
      </c>
      <c r="B426" s="10" t="s">
        <v>126</v>
      </c>
      <c r="C426" s="99">
        <v>0</v>
      </c>
      <c r="D426" s="31">
        <v>-176</v>
      </c>
      <c r="E426" s="48">
        <v>0</v>
      </c>
      <c r="F426" s="31">
        <v>-515</v>
      </c>
      <c r="G426" s="145"/>
      <c r="H426" s="145"/>
      <c r="I426" s="145"/>
      <c r="J426" s="203"/>
      <c r="K426" s="296"/>
      <c r="L426" s="299"/>
      <c r="N426" s="251"/>
    </row>
    <row r="427" spans="1:14" s="144" customFormat="1" hidden="1" x14ac:dyDescent="0.3">
      <c r="A427" s="10">
        <v>5521</v>
      </c>
      <c r="B427" s="10" t="s">
        <v>146</v>
      </c>
      <c r="C427" s="99">
        <v>0</v>
      </c>
      <c r="D427" s="31">
        <v>-2547</v>
      </c>
      <c r="E427" s="48">
        <v>0</v>
      </c>
      <c r="F427" s="31">
        <v>-1786</v>
      </c>
      <c r="G427" s="145"/>
      <c r="H427" s="145"/>
      <c r="I427" s="145"/>
      <c r="J427" s="203"/>
      <c r="K427" s="296"/>
      <c r="L427" s="299"/>
      <c r="N427" s="251"/>
    </row>
    <row r="428" spans="1:14" s="144" customFormat="1" hidden="1" x14ac:dyDescent="0.3">
      <c r="A428" s="10">
        <v>5522</v>
      </c>
      <c r="B428" s="10" t="s">
        <v>127</v>
      </c>
      <c r="C428" s="99">
        <v>0</v>
      </c>
      <c r="D428" s="31">
        <v>-87</v>
      </c>
      <c r="E428" s="48">
        <v>0</v>
      </c>
      <c r="F428" s="31">
        <v>-25</v>
      </c>
      <c r="G428" s="145"/>
      <c r="H428" s="145"/>
      <c r="I428" s="145"/>
      <c r="J428" s="203"/>
      <c r="K428" s="296"/>
      <c r="L428" s="299"/>
      <c r="N428" s="251"/>
    </row>
    <row r="429" spans="1:14" s="144" customFormat="1" hidden="1" x14ac:dyDescent="0.3">
      <c r="A429" s="10">
        <v>5524</v>
      </c>
      <c r="B429" s="10" t="s">
        <v>202</v>
      </c>
      <c r="C429" s="99">
        <v>0</v>
      </c>
      <c r="D429" s="31">
        <v>-415</v>
      </c>
      <c r="E429" s="48">
        <v>0</v>
      </c>
      <c r="F429" s="31">
        <v>-404</v>
      </c>
      <c r="G429" s="145"/>
      <c r="H429" s="145"/>
      <c r="I429" s="145"/>
      <c r="J429" s="203"/>
      <c r="K429" s="296"/>
      <c r="L429" s="299"/>
      <c r="N429" s="251"/>
    </row>
    <row r="430" spans="1:14" s="144" customFormat="1" hidden="1" x14ac:dyDescent="0.3">
      <c r="A430" s="10">
        <v>5525</v>
      </c>
      <c r="B430" s="10" t="s">
        <v>199</v>
      </c>
      <c r="C430" s="99">
        <v>0</v>
      </c>
      <c r="D430" s="31">
        <v>0</v>
      </c>
      <c r="E430" s="48">
        <v>0</v>
      </c>
      <c r="F430" s="31">
        <v>-60</v>
      </c>
      <c r="G430" s="145"/>
      <c r="H430" s="145"/>
      <c r="I430" s="145"/>
      <c r="J430" s="203"/>
      <c r="K430" s="296"/>
      <c r="L430" s="299"/>
      <c r="N430" s="251"/>
    </row>
    <row r="431" spans="1:14" s="144" customFormat="1" hidden="1" x14ac:dyDescent="0.3">
      <c r="A431" s="10">
        <v>5532</v>
      </c>
      <c r="B431" s="10" t="s">
        <v>150</v>
      </c>
      <c r="C431" s="99">
        <v>0</v>
      </c>
      <c r="D431" s="31">
        <v>-40</v>
      </c>
      <c r="E431" s="48">
        <v>0</v>
      </c>
      <c r="F431" s="31">
        <v>0</v>
      </c>
      <c r="G431" s="145"/>
      <c r="H431" s="145"/>
      <c r="I431" s="145"/>
      <c r="J431" s="203"/>
      <c r="K431" s="296"/>
      <c r="L431" s="299"/>
      <c r="N431" s="251"/>
    </row>
    <row r="432" spans="1:14" s="144" customFormat="1" hidden="1" x14ac:dyDescent="0.3">
      <c r="A432" s="10">
        <v>5540</v>
      </c>
      <c r="B432" s="10" t="s">
        <v>129</v>
      </c>
      <c r="C432" s="99">
        <v>0</v>
      </c>
      <c r="D432" s="31">
        <v>-886</v>
      </c>
      <c r="E432" s="48">
        <v>0</v>
      </c>
      <c r="F432" s="31">
        <v>-770</v>
      </c>
      <c r="G432" s="145"/>
      <c r="H432" s="145"/>
      <c r="I432" s="145"/>
      <c r="J432" s="203"/>
      <c r="K432" s="296"/>
      <c r="L432" s="299"/>
      <c r="N432" s="251"/>
    </row>
    <row r="433" spans="1:14" x14ac:dyDescent="0.3">
      <c r="A433" s="53" t="s">
        <v>268</v>
      </c>
      <c r="B433" s="53" t="s">
        <v>269</v>
      </c>
      <c r="C433" s="54">
        <f t="shared" ref="C433:F433" si="111">C434</f>
        <v>-3000</v>
      </c>
      <c r="D433" s="54">
        <f t="shared" si="111"/>
        <v>0</v>
      </c>
      <c r="E433" s="54">
        <f t="shared" si="111"/>
        <v>-2793</v>
      </c>
      <c r="F433" s="54">
        <f t="shared" si="111"/>
        <v>0</v>
      </c>
      <c r="G433" s="54">
        <f>G434</f>
        <v>-41513</v>
      </c>
      <c r="H433" s="54">
        <f>H434</f>
        <v>-40000</v>
      </c>
      <c r="I433" s="54">
        <f>I434</f>
        <v>-35696.53</v>
      </c>
      <c r="J433" s="54">
        <f>J434</f>
        <v>-40000</v>
      </c>
      <c r="K433" s="288"/>
      <c r="L433" s="292"/>
    </row>
    <row r="434" spans="1:14" s="144" customFormat="1" x14ac:dyDescent="0.3">
      <c r="A434" s="10">
        <v>5524</v>
      </c>
      <c r="B434" s="10" t="s">
        <v>202</v>
      </c>
      <c r="C434" s="99">
        <v>-3000</v>
      </c>
      <c r="D434" s="99">
        <v>0</v>
      </c>
      <c r="E434" s="48">
        <v>-2793</v>
      </c>
      <c r="F434" s="31">
        <v>0</v>
      </c>
      <c r="G434" s="145">
        <v>-41513</v>
      </c>
      <c r="H434" s="145">
        <v>-40000</v>
      </c>
      <c r="I434" s="145">
        <v>-35696.53</v>
      </c>
      <c r="J434" s="203">
        <v>-40000</v>
      </c>
      <c r="K434" s="326"/>
      <c r="L434" s="327"/>
      <c r="N434" s="251"/>
    </row>
    <row r="435" spans="1:14" x14ac:dyDescent="0.3">
      <c r="A435" s="53" t="s">
        <v>270</v>
      </c>
      <c r="B435" s="53" t="s">
        <v>271</v>
      </c>
      <c r="C435" s="54">
        <f t="shared" ref="C435:F435" si="112">SUM(C436:C450)</f>
        <v>-828957</v>
      </c>
      <c r="D435" s="54">
        <f t="shared" si="112"/>
        <v>0</v>
      </c>
      <c r="E435" s="54">
        <f t="shared" si="112"/>
        <v>-880190</v>
      </c>
      <c r="F435" s="54">
        <f t="shared" si="112"/>
        <v>0</v>
      </c>
      <c r="G435" s="54">
        <f>SUM(G438:G450)+G436</f>
        <v>-871343</v>
      </c>
      <c r="H435" s="54">
        <f>SUM(H438:H450)+H436</f>
        <v>-970892</v>
      </c>
      <c r="I435" s="54">
        <f>SUM(I438:I450)+I436</f>
        <v>-922026.56</v>
      </c>
      <c r="J435" s="54">
        <f>SUM(J436:J450)-J437</f>
        <v>-973630</v>
      </c>
    </row>
    <row r="436" spans="1:14" s="144" customFormat="1" x14ac:dyDescent="0.3">
      <c r="A436" s="10">
        <v>5002</v>
      </c>
      <c r="B436" s="10" t="s">
        <v>172</v>
      </c>
      <c r="C436" s="99">
        <v>-433389</v>
      </c>
      <c r="D436" s="99">
        <v>0</v>
      </c>
      <c r="E436" s="48">
        <v>-480799</v>
      </c>
      <c r="F436" s="31">
        <v>0</v>
      </c>
      <c r="G436" s="145">
        <v>-475342</v>
      </c>
      <c r="H436" s="48">
        <f>-539768-6503</f>
        <v>-546271</v>
      </c>
      <c r="I436" s="145">
        <v>-532603.39</v>
      </c>
      <c r="J436" s="203">
        <v>-578000</v>
      </c>
      <c r="K436" s="306"/>
      <c r="L436" s="305"/>
      <c r="M436" s="251"/>
      <c r="N436" s="251"/>
    </row>
    <row r="437" spans="1:14" s="161" customFormat="1" ht="13" x14ac:dyDescent="0.3">
      <c r="A437" s="155" t="s">
        <v>122</v>
      </c>
      <c r="B437" s="156" t="s">
        <v>227</v>
      </c>
      <c r="C437" s="157"/>
      <c r="D437" s="157"/>
      <c r="E437" s="158"/>
      <c r="F437" s="159"/>
      <c r="G437" s="163">
        <v>-4700</v>
      </c>
      <c r="H437" s="158">
        <v>-3848</v>
      </c>
      <c r="I437" s="163"/>
      <c r="J437" s="203">
        <v>-5492</v>
      </c>
      <c r="L437" s="304"/>
      <c r="N437" s="249"/>
    </row>
    <row r="438" spans="1:14" s="144" customFormat="1" x14ac:dyDescent="0.3">
      <c r="A438" s="10">
        <v>5005</v>
      </c>
      <c r="B438" s="10" t="s">
        <v>123</v>
      </c>
      <c r="C438" s="99">
        <v>-4855</v>
      </c>
      <c r="D438" s="99">
        <v>0</v>
      </c>
      <c r="E438" s="48">
        <v>-14755</v>
      </c>
      <c r="F438" s="31">
        <v>0</v>
      </c>
      <c r="G438" s="145">
        <v>-8922</v>
      </c>
      <c r="H438" s="48">
        <f>-3500-2197</f>
        <v>-5697</v>
      </c>
      <c r="I438" s="145">
        <v>-10747.5</v>
      </c>
      <c r="J438" s="203">
        <v>-7000</v>
      </c>
      <c r="K438" s="351"/>
      <c r="L438" s="305"/>
      <c r="M438" s="251"/>
      <c r="N438" s="251"/>
    </row>
    <row r="439" spans="1:14" s="144" customFormat="1" x14ac:dyDescent="0.3">
      <c r="A439" s="10">
        <v>506</v>
      </c>
      <c r="B439" s="10" t="s">
        <v>108</v>
      </c>
      <c r="C439" s="99">
        <v>-143074</v>
      </c>
      <c r="D439" s="99">
        <v>0</v>
      </c>
      <c r="E439" s="48">
        <v>-154401</v>
      </c>
      <c r="F439" s="31">
        <v>0</v>
      </c>
      <c r="G439" s="151">
        <v>-174514</v>
      </c>
      <c r="H439" s="151">
        <v>-183624</v>
      </c>
      <c r="I439" s="151">
        <v>-182753.83</v>
      </c>
      <c r="J439" s="203">
        <v>-197730</v>
      </c>
      <c r="K439" s="296"/>
      <c r="L439" s="328"/>
      <c r="N439" s="251"/>
    </row>
    <row r="440" spans="1:14" s="144" customFormat="1" x14ac:dyDescent="0.3">
      <c r="A440" s="56">
        <v>5500</v>
      </c>
      <c r="B440" s="10" t="s">
        <v>109</v>
      </c>
      <c r="C440" s="99">
        <v>-10366</v>
      </c>
      <c r="D440" s="99">
        <v>0</v>
      </c>
      <c r="E440" s="48">
        <v>-9303</v>
      </c>
      <c r="F440" s="31">
        <v>0</v>
      </c>
      <c r="G440" s="145">
        <v>-6029</v>
      </c>
      <c r="H440" s="145">
        <v>-8000</v>
      </c>
      <c r="I440" s="145">
        <v>-5670.23</v>
      </c>
      <c r="J440" s="203">
        <v>-7500</v>
      </c>
      <c r="L440" s="305"/>
      <c r="N440" s="251"/>
    </row>
    <row r="441" spans="1:14" s="144" customFormat="1" x14ac:dyDescent="0.3">
      <c r="A441" s="56">
        <v>5503</v>
      </c>
      <c r="B441" s="10" t="s">
        <v>124</v>
      </c>
      <c r="C441" s="99">
        <v>-1190</v>
      </c>
      <c r="D441" s="99">
        <v>0</v>
      </c>
      <c r="E441" s="48">
        <v>0</v>
      </c>
      <c r="F441" s="31">
        <v>0</v>
      </c>
      <c r="G441" s="145">
        <v>0</v>
      </c>
      <c r="H441" s="145">
        <v>0</v>
      </c>
      <c r="I441" s="145">
        <v>-2000</v>
      </c>
      <c r="J441" s="203"/>
      <c r="L441" s="305"/>
      <c r="N441" s="251"/>
    </row>
    <row r="442" spans="1:14" s="144" customFormat="1" x14ac:dyDescent="0.3">
      <c r="A442" s="56">
        <v>5504</v>
      </c>
      <c r="B442" s="10" t="s">
        <v>111</v>
      </c>
      <c r="C442" s="99">
        <v>-5161</v>
      </c>
      <c r="D442" s="99">
        <v>0</v>
      </c>
      <c r="E442" s="48">
        <v>-3771</v>
      </c>
      <c r="F442" s="31">
        <v>0</v>
      </c>
      <c r="G442" s="145">
        <v>-4685</v>
      </c>
      <c r="H442" s="145">
        <v>-5300</v>
      </c>
      <c r="I442" s="145">
        <v>-3379.65</v>
      </c>
      <c r="J442" s="203">
        <v>-5100</v>
      </c>
      <c r="L442" s="305"/>
      <c r="N442" s="251"/>
    </row>
    <row r="443" spans="1:14" s="144" customFormat="1" x14ac:dyDescent="0.3">
      <c r="A443" s="56">
        <v>5511</v>
      </c>
      <c r="B443" s="10" t="s">
        <v>125</v>
      </c>
      <c r="C443" s="99">
        <v>-144127</v>
      </c>
      <c r="D443" s="99">
        <v>0</v>
      </c>
      <c r="E443" s="48">
        <v>-128978</v>
      </c>
      <c r="F443" s="31">
        <v>0</v>
      </c>
      <c r="G443" s="145">
        <v>-136468</v>
      </c>
      <c r="H443" s="48">
        <f>-141200+8700</f>
        <v>-132500</v>
      </c>
      <c r="I443" s="145">
        <v>-115217.09</v>
      </c>
      <c r="J443" s="203">
        <v>-89700</v>
      </c>
      <c r="K443" s="311"/>
      <c r="L443" s="305"/>
      <c r="M443" s="251"/>
      <c r="N443" s="251"/>
    </row>
    <row r="444" spans="1:14" s="144" customFormat="1" x14ac:dyDescent="0.3">
      <c r="A444" s="56">
        <v>5513</v>
      </c>
      <c r="B444" s="10" t="s">
        <v>112</v>
      </c>
      <c r="C444" s="99">
        <v>-16289</v>
      </c>
      <c r="D444" s="99">
        <v>0</v>
      </c>
      <c r="E444" s="48">
        <v>-13515</v>
      </c>
      <c r="F444" s="31">
        <v>0</v>
      </c>
      <c r="G444" s="145">
        <v>-14110</v>
      </c>
      <c r="H444" s="145">
        <v>-18000</v>
      </c>
      <c r="I444" s="145">
        <v>-13695.58</v>
      </c>
      <c r="J444" s="203">
        <v>-15500</v>
      </c>
      <c r="L444" s="305"/>
      <c r="N444" s="251"/>
    </row>
    <row r="445" spans="1:14" s="144" customFormat="1" x14ac:dyDescent="0.3">
      <c r="A445" s="56">
        <v>5514</v>
      </c>
      <c r="B445" s="10" t="s">
        <v>113</v>
      </c>
      <c r="C445" s="99">
        <v>-12909</v>
      </c>
      <c r="D445" s="99">
        <v>0</v>
      </c>
      <c r="E445" s="48">
        <v>-14680</v>
      </c>
      <c r="F445" s="31">
        <v>0</v>
      </c>
      <c r="G445" s="145">
        <v>-12715</v>
      </c>
      <c r="H445" s="145">
        <v>-15000</v>
      </c>
      <c r="I445" s="145">
        <v>-14427.23</v>
      </c>
      <c r="J445" s="203">
        <v>-23500</v>
      </c>
      <c r="L445" s="305"/>
      <c r="N445" s="251"/>
    </row>
    <row r="446" spans="1:14" s="144" customFormat="1" x14ac:dyDescent="0.3">
      <c r="A446" s="56">
        <v>5515</v>
      </c>
      <c r="B446" s="10" t="s">
        <v>126</v>
      </c>
      <c r="C446" s="99">
        <v>-879</v>
      </c>
      <c r="D446" s="99">
        <v>0</v>
      </c>
      <c r="E446" s="48">
        <v>-1392</v>
      </c>
      <c r="F446" s="31">
        <v>0</v>
      </c>
      <c r="G446" s="145">
        <v>-7747</v>
      </c>
      <c r="H446" s="145">
        <v>-25000</v>
      </c>
      <c r="I446" s="145">
        <v>-13836.32</v>
      </c>
      <c r="J446" s="203">
        <v>-16500</v>
      </c>
      <c r="L446" s="305"/>
      <c r="N446" s="251"/>
    </row>
    <row r="447" spans="1:14" s="144" customFormat="1" x14ac:dyDescent="0.3">
      <c r="A447" s="56">
        <v>5522</v>
      </c>
      <c r="B447" s="10" t="s">
        <v>237</v>
      </c>
      <c r="C447" s="99">
        <v>-1026</v>
      </c>
      <c r="D447" s="99">
        <v>0</v>
      </c>
      <c r="E447" s="48">
        <v>-757</v>
      </c>
      <c r="F447" s="31">
        <v>0</v>
      </c>
      <c r="G447" s="145">
        <v>-95</v>
      </c>
      <c r="H447" s="145">
        <v>-1500</v>
      </c>
      <c r="I447" s="145">
        <v>-169.28</v>
      </c>
      <c r="J447" s="203">
        <v>-1100</v>
      </c>
      <c r="L447" s="305"/>
      <c r="N447" s="251"/>
    </row>
    <row r="448" spans="1:14" s="144" customFormat="1" x14ac:dyDescent="0.3">
      <c r="A448" s="56">
        <v>5524</v>
      </c>
      <c r="B448" s="10" t="s">
        <v>202</v>
      </c>
      <c r="C448" s="99">
        <v>-29120</v>
      </c>
      <c r="D448" s="99">
        <v>0</v>
      </c>
      <c r="E448" s="48">
        <v>-35321</v>
      </c>
      <c r="F448" s="31">
        <v>0</v>
      </c>
      <c r="G448" s="145">
        <v>-20943</v>
      </c>
      <c r="H448" s="145">
        <v>-20000</v>
      </c>
      <c r="I448" s="145">
        <v>-17530.79</v>
      </c>
      <c r="J448" s="203">
        <v>-20000</v>
      </c>
      <c r="L448" s="305"/>
      <c r="N448" s="251"/>
    </row>
    <row r="449" spans="1:72" s="144" customFormat="1" x14ac:dyDescent="0.3">
      <c r="A449" s="51">
        <v>5525</v>
      </c>
      <c r="B449" s="10" t="s">
        <v>199</v>
      </c>
      <c r="C449" s="99">
        <v>-24587</v>
      </c>
      <c r="D449" s="99">
        <v>0</v>
      </c>
      <c r="E449" s="48">
        <v>-22518</v>
      </c>
      <c r="F449" s="31">
        <v>0</v>
      </c>
      <c r="G449" s="145">
        <v>-9773</v>
      </c>
      <c r="H449" s="145">
        <v>-10000</v>
      </c>
      <c r="I449" s="145">
        <v>-9995.67</v>
      </c>
      <c r="J449" s="203">
        <v>-12000</v>
      </c>
      <c r="L449" s="305"/>
      <c r="N449" s="251"/>
    </row>
    <row r="450" spans="1:72" s="144" customFormat="1" x14ac:dyDescent="0.3">
      <c r="A450" s="51">
        <v>5539</v>
      </c>
      <c r="B450" s="10" t="s">
        <v>128</v>
      </c>
      <c r="C450" s="99">
        <v>-1985</v>
      </c>
      <c r="D450" s="99">
        <v>0</v>
      </c>
      <c r="E450" s="48">
        <v>0</v>
      </c>
      <c r="F450" s="31">
        <v>0</v>
      </c>
      <c r="G450" s="145">
        <v>0</v>
      </c>
      <c r="H450" s="145">
        <v>0</v>
      </c>
      <c r="I450" s="145"/>
      <c r="J450" s="203"/>
      <c r="K450" s="296"/>
      <c r="L450" s="328"/>
      <c r="N450" s="251"/>
    </row>
    <row r="451" spans="1:72" x14ac:dyDescent="0.3">
      <c r="A451" s="53" t="s">
        <v>272</v>
      </c>
      <c r="B451" s="53" t="s">
        <v>273</v>
      </c>
      <c r="C451" s="54">
        <f>SUM(C453:C469)</f>
        <v>0</v>
      </c>
      <c r="D451" s="54">
        <f>SUM(D453:D469)</f>
        <v>-400437</v>
      </c>
      <c r="E451" s="54">
        <f>SUM(E453:E469)</f>
        <v>0</v>
      </c>
      <c r="F451" s="54">
        <f>SUM(F452:F469)</f>
        <v>-427400</v>
      </c>
      <c r="G451" s="54">
        <f>SUM(G455:G469)+G453</f>
        <v>-495301</v>
      </c>
      <c r="H451" s="54">
        <f>SUM(H455:H469)+H453</f>
        <v>-589666</v>
      </c>
      <c r="I451" s="54">
        <f>SUM(I455:I469)+I453</f>
        <v>-577040.53</v>
      </c>
      <c r="J451" s="54">
        <f>SUM(J455:J469)+J453</f>
        <v>-635297</v>
      </c>
      <c r="K451" s="295"/>
      <c r="L451" s="298"/>
      <c r="M451" s="118"/>
      <c r="N451" s="246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  <c r="BB451" s="118"/>
      <c r="BC451" s="118"/>
      <c r="BD451" s="118"/>
      <c r="BE451" s="118"/>
      <c r="BF451" s="118"/>
      <c r="BG451" s="118"/>
      <c r="BH451" s="118"/>
      <c r="BI451" s="118"/>
      <c r="BJ451" s="118"/>
      <c r="BK451" s="118"/>
      <c r="BL451" s="118"/>
      <c r="BM451" s="118"/>
      <c r="BN451" s="118"/>
      <c r="BO451" s="118"/>
      <c r="BP451" s="118"/>
      <c r="BQ451" s="118"/>
      <c r="BR451" s="118"/>
      <c r="BS451" s="118"/>
      <c r="BT451" s="118"/>
    </row>
    <row r="452" spans="1:72" s="121" customFormat="1" ht="15" customHeight="1" x14ac:dyDescent="0.3">
      <c r="A452" s="47">
        <v>4500</v>
      </c>
      <c r="B452" s="10" t="s">
        <v>116</v>
      </c>
      <c r="C452" s="48">
        <v>0</v>
      </c>
      <c r="D452" s="48">
        <v>0</v>
      </c>
      <c r="E452" s="48">
        <v>0</v>
      </c>
      <c r="F452" s="48">
        <v>-1428</v>
      </c>
      <c r="G452" s="145">
        <v>0</v>
      </c>
      <c r="H452" s="145">
        <v>0</v>
      </c>
      <c r="I452" s="145"/>
      <c r="J452" s="203"/>
      <c r="K452" s="347"/>
      <c r="L452" s="328"/>
      <c r="M452" s="141"/>
      <c r="N452" s="254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141"/>
      <c r="AO452" s="141"/>
      <c r="AP452" s="141"/>
      <c r="AQ452" s="141"/>
      <c r="AR452" s="141"/>
      <c r="AS452" s="141"/>
      <c r="AT452" s="141"/>
      <c r="AU452" s="141"/>
      <c r="AV452" s="141"/>
      <c r="AW452" s="141"/>
      <c r="AX452" s="141"/>
      <c r="AY452" s="141"/>
      <c r="AZ452" s="141"/>
      <c r="BA452" s="141"/>
      <c r="BB452" s="141"/>
      <c r="BC452" s="141"/>
      <c r="BD452" s="141"/>
      <c r="BE452" s="141"/>
      <c r="BF452" s="141"/>
      <c r="BG452" s="141"/>
      <c r="BH452" s="141"/>
      <c r="BI452" s="141"/>
      <c r="BJ452" s="141"/>
      <c r="BK452" s="141"/>
      <c r="BL452" s="141"/>
      <c r="BM452" s="141"/>
      <c r="BN452" s="141"/>
      <c r="BO452" s="141"/>
      <c r="BP452" s="141"/>
      <c r="BQ452" s="141"/>
      <c r="BR452" s="141"/>
      <c r="BS452" s="141"/>
      <c r="BT452" s="141"/>
    </row>
    <row r="453" spans="1:72" s="144" customFormat="1" x14ac:dyDescent="0.3">
      <c r="A453" s="10">
        <v>5002</v>
      </c>
      <c r="B453" s="10" t="s">
        <v>172</v>
      </c>
      <c r="C453" s="99">
        <v>0</v>
      </c>
      <c r="D453" s="31">
        <v>-227927</v>
      </c>
      <c r="E453" s="48">
        <v>0</v>
      </c>
      <c r="F453" s="31">
        <v>-248666</v>
      </c>
      <c r="G453" s="145">
        <v>-290080</v>
      </c>
      <c r="H453" s="145">
        <v>-337138</v>
      </c>
      <c r="I453" s="145">
        <v>-338350.76</v>
      </c>
      <c r="J453" s="203">
        <v>-358914</v>
      </c>
      <c r="K453" s="347"/>
      <c r="L453" s="328"/>
      <c r="M453" s="141"/>
      <c r="N453" s="254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141"/>
      <c r="AO453" s="141"/>
      <c r="AP453" s="141"/>
      <c r="AQ453" s="141"/>
      <c r="AR453" s="141"/>
      <c r="AS453" s="141"/>
      <c r="AT453" s="141"/>
      <c r="AU453" s="141"/>
      <c r="AV453" s="141"/>
      <c r="AW453" s="141"/>
      <c r="AX453" s="141"/>
      <c r="AY453" s="141"/>
      <c r="AZ453" s="141"/>
      <c r="BA453" s="141"/>
      <c r="BB453" s="141"/>
      <c r="BC453" s="141"/>
      <c r="BD453" s="141"/>
      <c r="BE453" s="141"/>
      <c r="BF453" s="141"/>
      <c r="BG453" s="141"/>
      <c r="BH453" s="141"/>
      <c r="BI453" s="141"/>
      <c r="BJ453" s="141"/>
      <c r="BK453" s="141"/>
      <c r="BL453" s="141"/>
      <c r="BM453" s="141"/>
      <c r="BN453" s="141"/>
      <c r="BO453" s="141"/>
      <c r="BP453" s="141"/>
      <c r="BQ453" s="141"/>
      <c r="BR453" s="141"/>
      <c r="BS453" s="141"/>
      <c r="BT453" s="141"/>
    </row>
    <row r="454" spans="1:72" s="161" customFormat="1" ht="13" x14ac:dyDescent="0.3">
      <c r="A454" s="156" t="s">
        <v>122</v>
      </c>
      <c r="B454" s="156" t="s">
        <v>227</v>
      </c>
      <c r="C454" s="157"/>
      <c r="D454" s="159"/>
      <c r="E454" s="158"/>
      <c r="F454" s="159"/>
      <c r="G454" s="163">
        <v>-5498</v>
      </c>
      <c r="H454" s="163">
        <v>-4108</v>
      </c>
      <c r="I454" s="163"/>
      <c r="J454" s="203"/>
      <c r="K454" s="352"/>
      <c r="L454" s="335"/>
      <c r="M454" s="160"/>
      <c r="N454" s="248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  <c r="BI454" s="160"/>
      <c r="BJ454" s="160"/>
      <c r="BK454" s="160"/>
      <c r="BL454" s="160"/>
      <c r="BM454" s="160"/>
      <c r="BN454" s="160"/>
      <c r="BO454" s="160"/>
      <c r="BP454" s="160"/>
      <c r="BQ454" s="160"/>
      <c r="BR454" s="160"/>
      <c r="BS454" s="160"/>
      <c r="BT454" s="160"/>
    </row>
    <row r="455" spans="1:72" s="144" customFormat="1" x14ac:dyDescent="0.3">
      <c r="A455" s="10">
        <v>5005</v>
      </c>
      <c r="B455" s="10" t="s">
        <v>123</v>
      </c>
      <c r="C455" s="99">
        <v>0</v>
      </c>
      <c r="D455" s="31">
        <v>-3446</v>
      </c>
      <c r="E455" s="48">
        <v>0</v>
      </c>
      <c r="F455" s="31">
        <v>-2921</v>
      </c>
      <c r="G455" s="145">
        <v>-1205</v>
      </c>
      <c r="H455" s="145">
        <v>-2000</v>
      </c>
      <c r="I455" s="145">
        <v>-859</v>
      </c>
      <c r="J455" s="203">
        <v>-2070</v>
      </c>
      <c r="K455" s="296"/>
      <c r="L455" s="299"/>
      <c r="N455" s="251"/>
    </row>
    <row r="456" spans="1:72" s="144" customFormat="1" x14ac:dyDescent="0.3">
      <c r="A456" s="10">
        <v>506</v>
      </c>
      <c r="B456" s="10" t="s">
        <v>108</v>
      </c>
      <c r="C456" s="99">
        <v>0</v>
      </c>
      <c r="D456" s="31">
        <v>-77155</v>
      </c>
      <c r="E456" s="48">
        <v>0</v>
      </c>
      <c r="F456" s="31">
        <v>-84265</v>
      </c>
      <c r="G456" s="145">
        <v>-98537</v>
      </c>
      <c r="H456" s="145">
        <v>-114628</v>
      </c>
      <c r="I456" s="145">
        <v>-114367.24</v>
      </c>
      <c r="J456" s="203">
        <v>-122013</v>
      </c>
      <c r="K456" s="296"/>
      <c r="L456" s="328"/>
      <c r="N456" s="251"/>
    </row>
    <row r="457" spans="1:72" s="144" customFormat="1" x14ac:dyDescent="0.3">
      <c r="A457" s="10">
        <v>5500</v>
      </c>
      <c r="B457" s="10" t="s">
        <v>109</v>
      </c>
      <c r="C457" s="99">
        <v>0</v>
      </c>
      <c r="D457" s="31">
        <v>-5328</v>
      </c>
      <c r="E457" s="48">
        <v>0</v>
      </c>
      <c r="F457" s="31">
        <v>-5974</v>
      </c>
      <c r="G457" s="145">
        <v>-4551</v>
      </c>
      <c r="H457" s="145">
        <v>-4600</v>
      </c>
      <c r="I457" s="145">
        <v>-3890.42</v>
      </c>
      <c r="J457" s="203">
        <v>-4800</v>
      </c>
      <c r="K457" s="296"/>
      <c r="L457" s="299"/>
      <c r="N457" s="251"/>
    </row>
    <row r="458" spans="1:72" s="144" customFormat="1" x14ac:dyDescent="0.3">
      <c r="A458" s="10">
        <v>5503</v>
      </c>
      <c r="B458" s="10" t="s">
        <v>124</v>
      </c>
      <c r="C458" s="99">
        <v>0</v>
      </c>
      <c r="D458" s="31">
        <v>0</v>
      </c>
      <c r="E458" s="48">
        <v>0</v>
      </c>
      <c r="F458" s="31">
        <v>-57</v>
      </c>
      <c r="G458" s="145">
        <v>-1200</v>
      </c>
      <c r="H458" s="145">
        <v>0</v>
      </c>
      <c r="I458" s="145">
        <v>-400</v>
      </c>
      <c r="J458" s="203"/>
      <c r="L458" s="305"/>
      <c r="N458" s="251"/>
    </row>
    <row r="459" spans="1:72" s="144" customFormat="1" x14ac:dyDescent="0.3">
      <c r="A459" s="10">
        <v>5504</v>
      </c>
      <c r="B459" s="10" t="s">
        <v>111</v>
      </c>
      <c r="C459" s="99">
        <v>0</v>
      </c>
      <c r="D459" s="31">
        <v>-1702</v>
      </c>
      <c r="E459" s="48">
        <v>0</v>
      </c>
      <c r="F459" s="31">
        <v>-2143</v>
      </c>
      <c r="G459" s="145">
        <v>-5736</v>
      </c>
      <c r="H459" s="145">
        <v>-5000</v>
      </c>
      <c r="I459" s="145">
        <v>-3020.78</v>
      </c>
      <c r="J459" s="203">
        <v>-5000</v>
      </c>
      <c r="L459" s="305"/>
      <c r="N459" s="251"/>
    </row>
    <row r="460" spans="1:72" s="144" customFormat="1" x14ac:dyDescent="0.3">
      <c r="A460" s="10">
        <v>5511</v>
      </c>
      <c r="B460" s="10" t="s">
        <v>125</v>
      </c>
      <c r="C460" s="99">
        <v>0</v>
      </c>
      <c r="D460" s="31">
        <v>-38460</v>
      </c>
      <c r="E460" s="48">
        <v>0</v>
      </c>
      <c r="F460" s="31">
        <v>-35719</v>
      </c>
      <c r="G460" s="145">
        <v>-38480</v>
      </c>
      <c r="H460" s="145">
        <v>-45000</v>
      </c>
      <c r="I460" s="145">
        <v>-31207.17</v>
      </c>
      <c r="J460" s="203">
        <v>-60000</v>
      </c>
      <c r="L460" s="305"/>
      <c r="N460" s="251"/>
    </row>
    <row r="461" spans="1:72" s="144" customFormat="1" x14ac:dyDescent="0.3">
      <c r="A461" s="10">
        <v>5513</v>
      </c>
      <c r="B461" s="10" t="s">
        <v>112</v>
      </c>
      <c r="C461" s="99">
        <v>0</v>
      </c>
      <c r="D461" s="31">
        <v>-6440</v>
      </c>
      <c r="E461" s="48">
        <v>0</v>
      </c>
      <c r="F461" s="31">
        <v>-8625</v>
      </c>
      <c r="G461" s="145">
        <v>-12990</v>
      </c>
      <c r="H461" s="145">
        <v>-7900</v>
      </c>
      <c r="I461" s="145">
        <v>-4905.6099999999997</v>
      </c>
      <c r="J461" s="203">
        <v>-7900</v>
      </c>
      <c r="L461" s="305"/>
      <c r="N461" s="251"/>
    </row>
    <row r="462" spans="1:72" s="144" customFormat="1" x14ac:dyDescent="0.3">
      <c r="A462" s="10">
        <v>5514</v>
      </c>
      <c r="B462" s="10" t="s">
        <v>113</v>
      </c>
      <c r="C462" s="99">
        <v>0</v>
      </c>
      <c r="D462" s="31">
        <v>-4962</v>
      </c>
      <c r="E462" s="48">
        <v>0</v>
      </c>
      <c r="F462" s="31">
        <v>-8301</v>
      </c>
      <c r="G462" s="145">
        <v>-11682</v>
      </c>
      <c r="H462" s="145">
        <v>-10000</v>
      </c>
      <c r="I462" s="145">
        <v>-13976.3</v>
      </c>
      <c r="J462" s="203">
        <v>-10000</v>
      </c>
      <c r="L462" s="305"/>
      <c r="N462" s="251"/>
    </row>
    <row r="463" spans="1:72" s="144" customFormat="1" x14ac:dyDescent="0.3">
      <c r="A463" s="10">
        <v>5515</v>
      </c>
      <c r="B463" s="10" t="s">
        <v>126</v>
      </c>
      <c r="C463" s="99">
        <v>0</v>
      </c>
      <c r="D463" s="31">
        <v>-5078</v>
      </c>
      <c r="E463" s="48">
        <v>0</v>
      </c>
      <c r="F463" s="31">
        <v>-11120</v>
      </c>
      <c r="G463" s="145">
        <v>-6561</v>
      </c>
      <c r="H463" s="145">
        <v>-10000</v>
      </c>
      <c r="I463" s="145">
        <v>-7742.4</v>
      </c>
      <c r="J463" s="203">
        <v>-10000</v>
      </c>
      <c r="L463" s="305"/>
      <c r="N463" s="251"/>
    </row>
    <row r="464" spans="1:72" s="144" customFormat="1" x14ac:dyDescent="0.3">
      <c r="A464" s="10">
        <v>5521</v>
      </c>
      <c r="B464" s="10" t="s">
        <v>146</v>
      </c>
      <c r="C464" s="99">
        <v>0</v>
      </c>
      <c r="D464" s="31">
        <v>-15869</v>
      </c>
      <c r="E464" s="48">
        <v>0</v>
      </c>
      <c r="F464" s="31">
        <v>-3464</v>
      </c>
      <c r="G464" s="145">
        <v>-6816</v>
      </c>
      <c r="H464" s="145">
        <v>-17600</v>
      </c>
      <c r="I464" s="145">
        <v>-17070.099999999999</v>
      </c>
      <c r="J464" s="203">
        <v>-22000</v>
      </c>
      <c r="L464" s="305"/>
      <c r="N464" s="251"/>
    </row>
    <row r="465" spans="1:28" s="144" customFormat="1" x14ac:dyDescent="0.3">
      <c r="A465" s="10">
        <v>5522</v>
      </c>
      <c r="B465" s="10" t="s">
        <v>127</v>
      </c>
      <c r="C465" s="99">
        <v>0</v>
      </c>
      <c r="D465" s="31">
        <v>-144</v>
      </c>
      <c r="E465" s="48">
        <v>0</v>
      </c>
      <c r="F465" s="31">
        <v>-110</v>
      </c>
      <c r="G465" s="145">
        <v>-85</v>
      </c>
      <c r="H465" s="145">
        <v>-300</v>
      </c>
      <c r="I465" s="145">
        <v>-262.39</v>
      </c>
      <c r="J465" s="203">
        <v>-300</v>
      </c>
      <c r="L465" s="305"/>
      <c r="N465" s="251"/>
    </row>
    <row r="466" spans="1:28" s="144" customFormat="1" x14ac:dyDescent="0.3">
      <c r="A466" s="10">
        <v>5524</v>
      </c>
      <c r="B466" s="10" t="s">
        <v>202</v>
      </c>
      <c r="C466" s="99">
        <v>0</v>
      </c>
      <c r="D466" s="31">
        <v>-7100</v>
      </c>
      <c r="E466" s="48">
        <v>0</v>
      </c>
      <c r="F466" s="31">
        <v>-7635</v>
      </c>
      <c r="G466" s="145">
        <v>-8717</v>
      </c>
      <c r="H466" s="145">
        <v>-9000</v>
      </c>
      <c r="I466" s="145">
        <v>-11730.71</v>
      </c>
      <c r="J466" s="203">
        <v>-10000</v>
      </c>
      <c r="L466" s="305"/>
      <c r="N466" s="251"/>
    </row>
    <row r="467" spans="1:28" s="144" customFormat="1" x14ac:dyDescent="0.3">
      <c r="A467" s="10">
        <v>5525</v>
      </c>
      <c r="B467" s="10" t="s">
        <v>199</v>
      </c>
      <c r="C467" s="99">
        <v>0</v>
      </c>
      <c r="D467" s="31">
        <v>-689</v>
      </c>
      <c r="E467" s="48">
        <v>0</v>
      </c>
      <c r="F467" s="31">
        <v>-452</v>
      </c>
      <c r="G467" s="145">
        <v>-8419</v>
      </c>
      <c r="H467" s="145">
        <v>-17500</v>
      </c>
      <c r="I467" s="145">
        <v>-19165.11</v>
      </c>
      <c r="J467" s="203">
        <v>-12000</v>
      </c>
      <c r="L467" s="305"/>
      <c r="N467" s="251"/>
    </row>
    <row r="468" spans="1:28" s="144" customFormat="1" x14ac:dyDescent="0.3">
      <c r="A468" s="10">
        <v>5532</v>
      </c>
      <c r="B468" s="10" t="s">
        <v>150</v>
      </c>
      <c r="C468" s="99">
        <v>0</v>
      </c>
      <c r="D468" s="31">
        <v>0</v>
      </c>
      <c r="E468" s="48">
        <v>0</v>
      </c>
      <c r="F468" s="31">
        <v>-84</v>
      </c>
      <c r="G468" s="145">
        <v>-242</v>
      </c>
      <c r="H468" s="145">
        <v>-300</v>
      </c>
      <c r="I468" s="145">
        <v>-95.74</v>
      </c>
      <c r="J468" s="203">
        <v>-300</v>
      </c>
      <c r="L468" s="305"/>
      <c r="N468" s="251"/>
    </row>
    <row r="469" spans="1:28" s="144" customFormat="1" x14ac:dyDescent="0.3">
      <c r="A469" s="10">
        <v>5540</v>
      </c>
      <c r="B469" s="10" t="s">
        <v>129</v>
      </c>
      <c r="C469" s="99">
        <v>0</v>
      </c>
      <c r="D469" s="31">
        <v>-6137</v>
      </c>
      <c r="E469" s="48">
        <v>0</v>
      </c>
      <c r="F469" s="31">
        <v>-6436</v>
      </c>
      <c r="G469" s="145">
        <v>0</v>
      </c>
      <c r="H469" s="145">
        <v>-8700</v>
      </c>
      <c r="I469" s="145">
        <v>-9996.7999999999993</v>
      </c>
      <c r="J469" s="203">
        <v>-10000</v>
      </c>
      <c r="K469" s="296"/>
      <c r="L469" s="328"/>
      <c r="N469" s="251"/>
    </row>
    <row r="470" spans="1:28" x14ac:dyDescent="0.3">
      <c r="A470" s="52" t="s">
        <v>274</v>
      </c>
      <c r="B470" s="53" t="s">
        <v>275</v>
      </c>
      <c r="C470" s="54">
        <f t="shared" ref="C470:D470" si="113">C471</f>
        <v>-33640</v>
      </c>
      <c r="D470" s="54">
        <f t="shared" si="113"/>
        <v>-96272</v>
      </c>
      <c r="E470" s="54">
        <f>E471</f>
        <v>-40912</v>
      </c>
      <c r="F470" s="54">
        <f t="shared" ref="F470:J470" si="114">F471</f>
        <v>-94636</v>
      </c>
      <c r="G470" s="54">
        <f t="shared" si="114"/>
        <v>-92447</v>
      </c>
      <c r="H470" s="54">
        <f t="shared" si="114"/>
        <v>-90000</v>
      </c>
      <c r="I470" s="54">
        <f>I471</f>
        <v>-65996.240000000005</v>
      </c>
      <c r="J470" s="54">
        <f t="shared" si="114"/>
        <v>-90000</v>
      </c>
      <c r="K470" s="288"/>
      <c r="L470" s="292"/>
    </row>
    <row r="471" spans="1:28" s="144" customFormat="1" x14ac:dyDescent="0.3">
      <c r="A471" s="51">
        <v>5524</v>
      </c>
      <c r="B471" s="10" t="s">
        <v>202</v>
      </c>
      <c r="C471" s="99">
        <v>-33640</v>
      </c>
      <c r="D471" s="99">
        <v>-96272</v>
      </c>
      <c r="E471" s="48">
        <v>-40912</v>
      </c>
      <c r="F471" s="31">
        <v>-94636</v>
      </c>
      <c r="G471" s="145">
        <v>-92447</v>
      </c>
      <c r="H471" s="145">
        <v>-90000</v>
      </c>
      <c r="I471" s="145">
        <v>-65996.240000000005</v>
      </c>
      <c r="J471" s="203">
        <v>-90000</v>
      </c>
      <c r="K471" s="347"/>
      <c r="L471" s="328"/>
      <c r="M471" s="141"/>
      <c r="N471" s="254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  <c r="AA471" s="141"/>
      <c r="AB471" s="141"/>
    </row>
    <row r="472" spans="1:28" x14ac:dyDescent="0.3">
      <c r="A472" s="52" t="s">
        <v>276</v>
      </c>
      <c r="B472" s="53" t="s">
        <v>277</v>
      </c>
      <c r="C472" s="54">
        <f t="shared" ref="C472:D472" si="115">C476</f>
        <v>-8391</v>
      </c>
      <c r="D472" s="54">
        <f t="shared" si="115"/>
        <v>0</v>
      </c>
      <c r="E472" s="54">
        <f>SUM(E475:E476)</f>
        <v>-19767</v>
      </c>
      <c r="F472" s="54">
        <f>F476</f>
        <v>0</v>
      </c>
      <c r="G472" s="54">
        <f>SUM(G473:G476)</f>
        <v>-92508</v>
      </c>
      <c r="H472" s="54">
        <f>SUM(H473:H476)</f>
        <v>-91070</v>
      </c>
      <c r="I472" s="54">
        <f>SUM(I473:I476)</f>
        <v>-92928.329999999987</v>
      </c>
      <c r="J472" s="54">
        <f>SUM(J473:J476)</f>
        <v>-85000</v>
      </c>
      <c r="K472" s="295"/>
      <c r="L472" s="298"/>
      <c r="M472" s="118"/>
      <c r="N472" s="246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</row>
    <row r="473" spans="1:28" s="121" customFormat="1" ht="15" customHeight="1" x14ac:dyDescent="0.3">
      <c r="A473" s="124" t="s">
        <v>226</v>
      </c>
      <c r="B473" s="47" t="s">
        <v>172</v>
      </c>
      <c r="C473" s="48"/>
      <c r="D473" s="48"/>
      <c r="E473" s="48"/>
      <c r="F473" s="48"/>
      <c r="G473" s="48">
        <v>-11758</v>
      </c>
      <c r="H473" s="48">
        <v>-15000</v>
      </c>
      <c r="I473" s="48"/>
      <c r="J473" s="203">
        <v>0</v>
      </c>
      <c r="K473" s="320"/>
      <c r="L473" s="320"/>
      <c r="M473" s="166"/>
      <c r="N473" s="247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</row>
    <row r="474" spans="1:28" s="121" customFormat="1" ht="15" customHeight="1" x14ac:dyDescent="0.3">
      <c r="A474" s="124" t="s">
        <v>229</v>
      </c>
      <c r="B474" s="47" t="s">
        <v>108</v>
      </c>
      <c r="C474" s="48"/>
      <c r="D474" s="48"/>
      <c r="E474" s="48"/>
      <c r="F474" s="48"/>
      <c r="G474" s="48">
        <v>-3889</v>
      </c>
      <c r="H474" s="48">
        <v>-5070</v>
      </c>
      <c r="I474" s="48"/>
      <c r="J474" s="203">
        <v>0</v>
      </c>
      <c r="K474" s="320"/>
      <c r="L474" s="320"/>
      <c r="M474" s="166"/>
      <c r="N474" s="247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</row>
    <row r="475" spans="1:28" s="121" customFormat="1" ht="15" customHeight="1" x14ac:dyDescent="0.3">
      <c r="A475" s="124" t="s">
        <v>234</v>
      </c>
      <c r="B475" s="47" t="s">
        <v>112</v>
      </c>
      <c r="C475" s="48">
        <v>0</v>
      </c>
      <c r="D475" s="48">
        <v>0</v>
      </c>
      <c r="E475" s="48">
        <v>-1343</v>
      </c>
      <c r="F475" s="48">
        <v>0</v>
      </c>
      <c r="G475" s="145">
        <v>-10590</v>
      </c>
      <c r="H475" s="145">
        <v>-10000</v>
      </c>
      <c r="I475" s="145">
        <v>-6647.9</v>
      </c>
      <c r="J475" s="203">
        <v>-10000</v>
      </c>
      <c r="K475" s="347"/>
      <c r="L475" s="328"/>
      <c r="M475" s="141"/>
      <c r="N475" s="254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1"/>
      <c r="AB475" s="141"/>
    </row>
    <row r="476" spans="1:28" s="144" customFormat="1" x14ac:dyDescent="0.3">
      <c r="A476" s="51">
        <v>5524</v>
      </c>
      <c r="B476" s="10" t="s">
        <v>202</v>
      </c>
      <c r="C476" s="99">
        <v>-8391</v>
      </c>
      <c r="D476" s="99">
        <v>0</v>
      </c>
      <c r="E476" s="48">
        <v>-18424</v>
      </c>
      <c r="F476" s="31">
        <v>0</v>
      </c>
      <c r="G476" s="145">
        <v>-66271</v>
      </c>
      <c r="H476" s="145">
        <v>-61000</v>
      </c>
      <c r="I476" s="145">
        <v>-86280.43</v>
      </c>
      <c r="J476" s="203">
        <v>-75000</v>
      </c>
      <c r="K476" s="347"/>
      <c r="L476" s="328"/>
      <c r="M476" s="141"/>
      <c r="N476" s="254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  <c r="AA476" s="141"/>
      <c r="AB476" s="141"/>
    </row>
    <row r="477" spans="1:28" x14ac:dyDescent="0.3">
      <c r="A477" s="53" t="s">
        <v>278</v>
      </c>
      <c r="B477" s="53" t="s">
        <v>279</v>
      </c>
      <c r="C477" s="54">
        <f t="shared" ref="C477:D477" si="116">C478</f>
        <v>-66043</v>
      </c>
      <c r="D477" s="54">
        <f t="shared" si="116"/>
        <v>-73306</v>
      </c>
      <c r="E477" s="54">
        <f>E478</f>
        <v>-79567</v>
      </c>
      <c r="F477" s="54">
        <f t="shared" ref="F477:J477" si="117">F478</f>
        <v>-83602</v>
      </c>
      <c r="G477" s="54">
        <f t="shared" si="117"/>
        <v>-235315</v>
      </c>
      <c r="H477" s="54">
        <f t="shared" si="117"/>
        <v>-240000</v>
      </c>
      <c r="I477" s="54">
        <f>I478</f>
        <v>-219100.75</v>
      </c>
      <c r="J477" s="54">
        <f t="shared" si="117"/>
        <v>-250000</v>
      </c>
      <c r="K477" s="288"/>
      <c r="L477" s="292"/>
    </row>
    <row r="478" spans="1:28" s="144" customFormat="1" x14ac:dyDescent="0.3">
      <c r="A478" s="10">
        <v>5540</v>
      </c>
      <c r="B478" s="10" t="s">
        <v>129</v>
      </c>
      <c r="C478" s="99">
        <v>-66043</v>
      </c>
      <c r="D478" s="99">
        <v>-73306</v>
      </c>
      <c r="E478" s="48">
        <v>-79567</v>
      </c>
      <c r="F478" s="31">
        <v>-83602</v>
      </c>
      <c r="G478" s="145">
        <v>-235315</v>
      </c>
      <c r="H478" s="145">
        <v>-240000</v>
      </c>
      <c r="I478" s="145">
        <v>-219100.75</v>
      </c>
      <c r="J478" s="203">
        <v>-250000</v>
      </c>
      <c r="K478" s="296"/>
      <c r="L478" s="328"/>
      <c r="N478" s="251"/>
    </row>
    <row r="479" spans="1:28" x14ac:dyDescent="0.3">
      <c r="A479" s="53" t="s">
        <v>280</v>
      </c>
      <c r="B479" s="53" t="s">
        <v>281</v>
      </c>
      <c r="C479" s="54">
        <f t="shared" ref="C479:D479" si="118">C480</f>
        <v>-41857</v>
      </c>
      <c r="D479" s="54">
        <f t="shared" si="118"/>
        <v>-1404</v>
      </c>
      <c r="E479" s="54">
        <f>E480</f>
        <v>-54522</v>
      </c>
      <c r="F479" s="54">
        <f t="shared" ref="F479:J479" si="119">F480</f>
        <v>-12741</v>
      </c>
      <c r="G479" s="54">
        <f t="shared" si="119"/>
        <v>-63881</v>
      </c>
      <c r="H479" s="54">
        <f t="shared" si="119"/>
        <v>-60000</v>
      </c>
      <c r="I479" s="54">
        <f>I480</f>
        <v>-64015.03</v>
      </c>
      <c r="J479" s="54">
        <f t="shared" si="119"/>
        <v>-65000</v>
      </c>
      <c r="K479" s="288"/>
      <c r="L479" s="292"/>
    </row>
    <row r="480" spans="1:28" s="144" customFormat="1" x14ac:dyDescent="0.3">
      <c r="A480" s="10">
        <v>5521</v>
      </c>
      <c r="B480" s="10" t="s">
        <v>146</v>
      </c>
      <c r="C480" s="99">
        <v>-41857</v>
      </c>
      <c r="D480" s="99">
        <v>-1404</v>
      </c>
      <c r="E480" s="48">
        <v>-54522</v>
      </c>
      <c r="F480" s="31">
        <v>-12741</v>
      </c>
      <c r="G480" s="145">
        <v>-63881</v>
      </c>
      <c r="H480" s="145">
        <v>-60000</v>
      </c>
      <c r="I480" s="145">
        <v>-64015.03</v>
      </c>
      <c r="J480" s="203">
        <v>-65000</v>
      </c>
      <c r="K480" s="296"/>
      <c r="L480" s="328"/>
      <c r="N480" s="251"/>
    </row>
    <row r="481" spans="1:14" x14ac:dyDescent="0.3">
      <c r="A481" s="57" t="s">
        <v>282</v>
      </c>
      <c r="B481" s="58" t="s">
        <v>283</v>
      </c>
      <c r="C481" s="59">
        <f t="shared" ref="C481:F481" si="120">SUM(C482+C492+C494+C508+C518+C522+C525+C527+C529+C531+C533+C542)</f>
        <v>-138922</v>
      </c>
      <c r="D481" s="59">
        <f t="shared" si="120"/>
        <v>-94604</v>
      </c>
      <c r="E481" s="59">
        <f t="shared" si="120"/>
        <v>-176741</v>
      </c>
      <c r="F481" s="59">
        <f t="shared" si="120"/>
        <v>-100310</v>
      </c>
      <c r="G481" s="59">
        <f>SUM(G482+G492+G494+G506+G508+G518+G522+G525+G527+G529+G531+G533+G542)</f>
        <v>-330791</v>
      </c>
      <c r="H481" s="59">
        <f>SUM(H482+H492+H494+H506+H508+H518+H522+H525+H527+H529+H531+H533+H542)</f>
        <v>-393994</v>
      </c>
      <c r="I481" s="59">
        <f>SUM(I482+I492+I494+I506+I508+I518+I522+I525+I527+I529+I531+I533+I542)</f>
        <v>-366428.43999999994</v>
      </c>
      <c r="J481" s="59">
        <f>SUM(J482+J492+J494+J506+J508+J518+J522+J525+J527+J529+J531+J533+J542)</f>
        <v>-351934</v>
      </c>
      <c r="K481" s="288"/>
      <c r="L481" s="292"/>
    </row>
    <row r="482" spans="1:14" x14ac:dyDescent="0.3">
      <c r="A482" s="58" t="s">
        <v>284</v>
      </c>
      <c r="B482" s="58" t="s">
        <v>285</v>
      </c>
      <c r="C482" s="59">
        <f>SUM(C483:C490)</f>
        <v>-9350</v>
      </c>
      <c r="D482" s="59">
        <f>SUM(D483:D490)</f>
        <v>-31109</v>
      </c>
      <c r="E482" s="59">
        <f t="shared" ref="E482:J482" si="121">SUM(E483:E491)</f>
        <v>-11677</v>
      </c>
      <c r="F482" s="59">
        <f t="shared" si="121"/>
        <v>-35211</v>
      </c>
      <c r="G482" s="59">
        <f t="shared" si="121"/>
        <v>-67641</v>
      </c>
      <c r="H482" s="59">
        <f t="shared" si="121"/>
        <v>-84070</v>
      </c>
      <c r="I482" s="59">
        <f>SUM(I483:I491)</f>
        <v>-78706.13</v>
      </c>
      <c r="J482" s="59">
        <f t="shared" si="121"/>
        <v>-85070</v>
      </c>
      <c r="K482" s="288"/>
      <c r="L482" s="292"/>
    </row>
    <row r="483" spans="1:14" s="144" customFormat="1" x14ac:dyDescent="0.3">
      <c r="A483" s="10">
        <v>4133</v>
      </c>
      <c r="B483" s="10" t="s">
        <v>286</v>
      </c>
      <c r="C483" s="99">
        <v>-3500</v>
      </c>
      <c r="D483" s="31">
        <v>-9551</v>
      </c>
      <c r="E483" s="48">
        <v>-3370</v>
      </c>
      <c r="F483" s="31">
        <v>-9711</v>
      </c>
      <c r="G483" s="145">
        <v>-18393</v>
      </c>
      <c r="H483" s="145">
        <v>-25000</v>
      </c>
      <c r="I483" s="145">
        <v>-25300</v>
      </c>
      <c r="J483" s="203">
        <v>-25000</v>
      </c>
      <c r="K483" s="296"/>
      <c r="L483" s="328"/>
      <c r="N483" s="251"/>
    </row>
    <row r="484" spans="1:14" s="144" customFormat="1" x14ac:dyDescent="0.3">
      <c r="A484" s="10">
        <v>4137</v>
      </c>
      <c r="B484" s="10" t="s">
        <v>287</v>
      </c>
      <c r="C484" s="99">
        <v>-5850</v>
      </c>
      <c r="D484" s="31">
        <v>-1743</v>
      </c>
      <c r="E484" s="48">
        <v>-8307</v>
      </c>
      <c r="F484" s="31">
        <v>-1689</v>
      </c>
      <c r="G484" s="145">
        <v>-11741</v>
      </c>
      <c r="H484" s="145">
        <v>-13000</v>
      </c>
      <c r="I484" s="145">
        <v>-10224.11</v>
      </c>
      <c r="J484" s="203">
        <v>-13000</v>
      </c>
      <c r="L484" s="305"/>
      <c r="N484" s="251"/>
    </row>
    <row r="485" spans="1:14" s="144" customFormat="1" x14ac:dyDescent="0.3">
      <c r="A485" s="10">
        <v>4138</v>
      </c>
      <c r="B485" s="10" t="s">
        <v>288</v>
      </c>
      <c r="C485" s="99">
        <v>0</v>
      </c>
      <c r="D485" s="31">
        <v>-8</v>
      </c>
      <c r="E485" s="48">
        <v>0</v>
      </c>
      <c r="F485" s="31">
        <v>0</v>
      </c>
      <c r="G485" s="145">
        <v>0</v>
      </c>
      <c r="H485" s="145">
        <v>0</v>
      </c>
      <c r="I485" s="145">
        <v>-258</v>
      </c>
      <c r="J485" s="203"/>
      <c r="L485" s="305"/>
      <c r="N485" s="251"/>
    </row>
    <row r="486" spans="1:14" s="144" customFormat="1" x14ac:dyDescent="0.3">
      <c r="A486" s="10">
        <v>4500</v>
      </c>
      <c r="B486" s="10" t="s">
        <v>161</v>
      </c>
      <c r="C486" s="99">
        <v>0</v>
      </c>
      <c r="D486" s="31">
        <v>-384</v>
      </c>
      <c r="E486" s="48">
        <v>0</v>
      </c>
      <c r="F486" s="31">
        <v>-384</v>
      </c>
      <c r="G486" s="145">
        <v>-3540</v>
      </c>
      <c r="H486" s="145">
        <v>-6000</v>
      </c>
      <c r="I486" s="145">
        <v>-4540</v>
      </c>
      <c r="J486" s="203">
        <v>-6000</v>
      </c>
      <c r="L486" s="305"/>
      <c r="N486" s="251"/>
    </row>
    <row r="487" spans="1:14" s="144" customFormat="1" x14ac:dyDescent="0.3">
      <c r="A487" s="10">
        <v>5005</v>
      </c>
      <c r="B487" s="10" t="s">
        <v>123</v>
      </c>
      <c r="C487" s="99">
        <v>0</v>
      </c>
      <c r="D487" s="99">
        <v>0</v>
      </c>
      <c r="E487" s="99">
        <v>0</v>
      </c>
      <c r="F487" s="99">
        <v>0</v>
      </c>
      <c r="G487" s="145">
        <v>-10105</v>
      </c>
      <c r="H487" s="145">
        <v>-15000</v>
      </c>
      <c r="I487" s="145">
        <v>-11328.6</v>
      </c>
      <c r="J487" s="203">
        <v>-15000</v>
      </c>
      <c r="K487" s="296"/>
      <c r="L487" s="328"/>
      <c r="N487" s="251"/>
    </row>
    <row r="488" spans="1:14" s="144" customFormat="1" x14ac:dyDescent="0.3">
      <c r="A488" s="10">
        <v>506</v>
      </c>
      <c r="B488" s="10" t="s">
        <v>108</v>
      </c>
      <c r="C488" s="99">
        <v>0</v>
      </c>
      <c r="D488" s="99">
        <v>0</v>
      </c>
      <c r="E488" s="99">
        <v>0</v>
      </c>
      <c r="F488" s="99">
        <v>0</v>
      </c>
      <c r="G488" s="145">
        <v>-3135</v>
      </c>
      <c r="H488" s="145">
        <v>-5070</v>
      </c>
      <c r="I488" s="145">
        <v>-3829.07</v>
      </c>
      <c r="J488" s="203">
        <v>-5070</v>
      </c>
      <c r="K488" s="296"/>
      <c r="L488" s="299"/>
      <c r="N488" s="251"/>
    </row>
    <row r="489" spans="1:14" s="144" customFormat="1" x14ac:dyDescent="0.3">
      <c r="A489" s="10">
        <v>5513</v>
      </c>
      <c r="B489" s="10" t="s">
        <v>112</v>
      </c>
      <c r="C489" s="99">
        <v>0</v>
      </c>
      <c r="D489" s="99">
        <v>0</v>
      </c>
      <c r="E489" s="99">
        <v>0</v>
      </c>
      <c r="F489" s="99">
        <v>0</v>
      </c>
      <c r="G489" s="145">
        <v>-3174</v>
      </c>
      <c r="H489" s="145">
        <v>-10000</v>
      </c>
      <c r="I489" s="145">
        <v>-5710.75</v>
      </c>
      <c r="J489" s="203">
        <v>-6000</v>
      </c>
      <c r="K489" s="296"/>
      <c r="L489" s="299"/>
      <c r="N489" s="251"/>
    </row>
    <row r="490" spans="1:14" s="144" customFormat="1" x14ac:dyDescent="0.3">
      <c r="A490" s="10">
        <v>5526</v>
      </c>
      <c r="B490" s="10" t="s">
        <v>289</v>
      </c>
      <c r="C490" s="99">
        <v>0</v>
      </c>
      <c r="D490" s="31">
        <v>-19423</v>
      </c>
      <c r="E490" s="48">
        <v>0</v>
      </c>
      <c r="F490" s="31">
        <v>-23417</v>
      </c>
      <c r="G490" s="145">
        <v>-17553</v>
      </c>
      <c r="H490" s="145">
        <v>-10000</v>
      </c>
      <c r="I490" s="145">
        <v>-17515.599999999999</v>
      </c>
      <c r="J490" s="203">
        <v>-15000</v>
      </c>
      <c r="K490" s="296"/>
      <c r="L490" s="328"/>
      <c r="N490" s="251"/>
    </row>
    <row r="491" spans="1:14" s="144" customFormat="1" hidden="1" x14ac:dyDescent="0.3">
      <c r="A491" s="10">
        <v>6010</v>
      </c>
      <c r="B491" s="10" t="s">
        <v>54</v>
      </c>
      <c r="C491" s="99">
        <v>0</v>
      </c>
      <c r="D491" s="31">
        <v>0</v>
      </c>
      <c r="E491" s="48">
        <v>0</v>
      </c>
      <c r="F491" s="31">
        <v>-10</v>
      </c>
      <c r="G491" s="145">
        <v>0</v>
      </c>
      <c r="H491" s="145">
        <v>0</v>
      </c>
      <c r="I491" s="145"/>
      <c r="J491" s="203"/>
      <c r="K491" s="296"/>
      <c r="L491" s="299"/>
      <c r="N491" s="251"/>
    </row>
    <row r="492" spans="1:14" x14ac:dyDescent="0.3">
      <c r="A492" s="60">
        <v>10200</v>
      </c>
      <c r="B492" s="58" t="s">
        <v>290</v>
      </c>
      <c r="C492" s="59">
        <f t="shared" ref="C492:D492" si="122">C493</f>
        <v>-15948</v>
      </c>
      <c r="D492" s="59">
        <f t="shared" si="122"/>
        <v>0</v>
      </c>
      <c r="E492" s="59">
        <f>E493</f>
        <v>-13401</v>
      </c>
      <c r="F492" s="59">
        <f t="shared" ref="F492:J492" si="123">F493</f>
        <v>0</v>
      </c>
      <c r="G492" s="59">
        <f t="shared" si="123"/>
        <v>-38208</v>
      </c>
      <c r="H492" s="59">
        <f t="shared" si="123"/>
        <v>-50000</v>
      </c>
      <c r="I492" s="59">
        <f>I493</f>
        <v>-38527.620000000003</v>
      </c>
      <c r="J492" s="59">
        <f t="shared" si="123"/>
        <v>-50000</v>
      </c>
      <c r="K492" s="288"/>
      <c r="L492" s="292"/>
    </row>
    <row r="493" spans="1:14" s="144" customFormat="1" x14ac:dyDescent="0.3">
      <c r="A493" s="10">
        <v>5526</v>
      </c>
      <c r="B493" s="10" t="s">
        <v>289</v>
      </c>
      <c r="C493" s="99">
        <v>-15948</v>
      </c>
      <c r="D493" s="99"/>
      <c r="E493" s="48">
        <v>-13401</v>
      </c>
      <c r="F493" s="31">
        <v>0</v>
      </c>
      <c r="G493" s="145">
        <v>-38208</v>
      </c>
      <c r="H493" s="145">
        <v>-50000</v>
      </c>
      <c r="I493" s="145">
        <v>-38527.620000000003</v>
      </c>
      <c r="J493" s="203">
        <v>-50000</v>
      </c>
      <c r="K493" s="296"/>
      <c r="L493" s="328"/>
      <c r="N493" s="251"/>
    </row>
    <row r="494" spans="1:14" x14ac:dyDescent="0.3">
      <c r="A494" s="58" t="s">
        <v>291</v>
      </c>
      <c r="B494" s="58" t="s">
        <v>292</v>
      </c>
      <c r="C494" s="59">
        <f t="shared" ref="C494:D494" si="124">SUM(C495:C505)</f>
        <v>-24264</v>
      </c>
      <c r="D494" s="59">
        <f t="shared" si="124"/>
        <v>-30664</v>
      </c>
      <c r="E494" s="59">
        <f t="shared" ref="E494:G494" si="125">SUM(E495:E505)</f>
        <v>-29363</v>
      </c>
      <c r="F494" s="59">
        <f t="shared" si="125"/>
        <v>-38220</v>
      </c>
      <c r="G494" s="59">
        <f t="shared" si="125"/>
        <v>-55535</v>
      </c>
      <c r="H494" s="59">
        <f t="shared" ref="H494:J494" si="126">SUM(H495:H505)</f>
        <v>-97064</v>
      </c>
      <c r="I494" s="59">
        <f>SUM(I495:I505)</f>
        <v>-59271.590000000004</v>
      </c>
      <c r="J494" s="59">
        <f t="shared" si="126"/>
        <v>-75364</v>
      </c>
      <c r="K494" s="288"/>
      <c r="L494" s="292"/>
    </row>
    <row r="495" spans="1:14" s="144" customFormat="1" x14ac:dyDescent="0.3">
      <c r="A495" s="10">
        <v>4138</v>
      </c>
      <c r="B495" s="10" t="s">
        <v>288</v>
      </c>
      <c r="C495" s="99">
        <v>0</v>
      </c>
      <c r="D495" s="31">
        <v>-16099</v>
      </c>
      <c r="E495" s="48">
        <v>0</v>
      </c>
      <c r="F495" s="31">
        <v>-13877</v>
      </c>
      <c r="G495" s="145">
        <v>0</v>
      </c>
      <c r="H495" s="145">
        <v>0</v>
      </c>
      <c r="I495" s="145"/>
      <c r="J495" s="203"/>
      <c r="L495" s="305"/>
      <c r="N495" s="251"/>
    </row>
    <row r="496" spans="1:14" s="144" customFormat="1" x14ac:dyDescent="0.3">
      <c r="A496" s="10">
        <v>4500</v>
      </c>
      <c r="B496" s="10" t="s">
        <v>161</v>
      </c>
      <c r="C496" s="99">
        <v>0</v>
      </c>
      <c r="D496" s="31">
        <v>-2560</v>
      </c>
      <c r="E496" s="48">
        <v>0</v>
      </c>
      <c r="F496" s="31">
        <v>-2615</v>
      </c>
      <c r="G496" s="145">
        <v>-727</v>
      </c>
      <c r="H496" s="145">
        <v>-18000</v>
      </c>
      <c r="I496" s="145"/>
      <c r="J496" s="203">
        <v>0</v>
      </c>
      <c r="L496" s="305"/>
      <c r="N496" s="251"/>
    </row>
    <row r="497" spans="1:14" s="144" customFormat="1" x14ac:dyDescent="0.3">
      <c r="A497" s="10">
        <v>5002</v>
      </c>
      <c r="B497" s="10" t="s">
        <v>172</v>
      </c>
      <c r="C497" s="99">
        <v>-7697</v>
      </c>
      <c r="D497" s="31">
        <v>-1200</v>
      </c>
      <c r="E497" s="48">
        <v>-8777</v>
      </c>
      <c r="F497" s="31">
        <v>-5031</v>
      </c>
      <c r="G497" s="145">
        <v>-27250</v>
      </c>
      <c r="H497" s="145">
        <v>-39360</v>
      </c>
      <c r="I497" s="145">
        <v>-31554.2</v>
      </c>
      <c r="J497" s="203">
        <v>-39360</v>
      </c>
      <c r="L497" s="305"/>
      <c r="N497" s="251"/>
    </row>
    <row r="498" spans="1:14" s="144" customFormat="1" x14ac:dyDescent="0.3">
      <c r="A498" s="10">
        <v>5005</v>
      </c>
      <c r="B498" s="10" t="s">
        <v>123</v>
      </c>
      <c r="C498" s="99">
        <v>-6871</v>
      </c>
      <c r="D498" s="31">
        <v>0</v>
      </c>
      <c r="E498" s="48">
        <v>-7711</v>
      </c>
      <c r="F498" s="31">
        <v>0</v>
      </c>
      <c r="G498" s="145">
        <v>-468</v>
      </c>
      <c r="H498" s="145">
        <v>0</v>
      </c>
      <c r="I498" s="145"/>
      <c r="J498" s="203"/>
      <c r="L498" s="305"/>
      <c r="N498" s="251"/>
    </row>
    <row r="499" spans="1:14" s="144" customFormat="1" x14ac:dyDescent="0.3">
      <c r="A499" s="10">
        <v>5008</v>
      </c>
      <c r="B499" s="10" t="s">
        <v>293</v>
      </c>
      <c r="C499" s="99">
        <v>0</v>
      </c>
      <c r="D499" s="99">
        <v>0</v>
      </c>
      <c r="E499" s="99">
        <v>0</v>
      </c>
      <c r="F499" s="99">
        <v>0</v>
      </c>
      <c r="G499" s="145">
        <v>0</v>
      </c>
      <c r="H499" s="145">
        <v>0</v>
      </c>
      <c r="I499" s="145"/>
      <c r="J499" s="203"/>
      <c r="L499" s="305"/>
      <c r="N499" s="251"/>
    </row>
    <row r="500" spans="1:14" s="144" customFormat="1" x14ac:dyDescent="0.3">
      <c r="A500" s="10">
        <v>506</v>
      </c>
      <c r="B500" s="10" t="s">
        <v>108</v>
      </c>
      <c r="C500" s="99">
        <v>-5254</v>
      </c>
      <c r="D500" s="31">
        <v>-389</v>
      </c>
      <c r="E500" s="48">
        <v>-5085</v>
      </c>
      <c r="F500" s="31">
        <v>-1553</v>
      </c>
      <c r="G500" s="145">
        <v>-9844</v>
      </c>
      <c r="H500" s="145">
        <v>-13304</v>
      </c>
      <c r="I500" s="145">
        <v>-10665.32</v>
      </c>
      <c r="J500" s="203">
        <v>-13304</v>
      </c>
      <c r="K500" s="347"/>
      <c r="L500" s="328"/>
      <c r="N500" s="251"/>
    </row>
    <row r="501" spans="1:14" s="144" customFormat="1" x14ac:dyDescent="0.3">
      <c r="A501" s="10">
        <v>5500</v>
      </c>
      <c r="B501" s="10" t="s">
        <v>109</v>
      </c>
      <c r="C501" s="99">
        <v>-685</v>
      </c>
      <c r="D501" s="31">
        <v>0</v>
      </c>
      <c r="E501" s="48">
        <v>-938</v>
      </c>
      <c r="F501" s="31">
        <v>0</v>
      </c>
      <c r="G501" s="145">
        <v>-2949</v>
      </c>
      <c r="H501" s="145">
        <v>-3000</v>
      </c>
      <c r="I501" s="145">
        <v>-3406.36</v>
      </c>
      <c r="J501" s="203">
        <v>-3500</v>
      </c>
      <c r="K501" s="296"/>
      <c r="L501" s="299"/>
      <c r="N501" s="251"/>
    </row>
    <row r="502" spans="1:14" s="144" customFormat="1" x14ac:dyDescent="0.3">
      <c r="A502" s="10">
        <v>5511</v>
      </c>
      <c r="B502" s="10" t="s">
        <v>125</v>
      </c>
      <c r="C502" s="99">
        <v>-272</v>
      </c>
      <c r="D502" s="31">
        <v>0</v>
      </c>
      <c r="E502" s="48">
        <v>0</v>
      </c>
      <c r="F502" s="31">
        <v>0</v>
      </c>
      <c r="G502" s="145"/>
      <c r="H502" s="145">
        <v>0</v>
      </c>
      <c r="I502" s="145">
        <v>-338.88</v>
      </c>
      <c r="J502" s="203"/>
      <c r="K502" s="296"/>
      <c r="L502" s="299"/>
      <c r="N502" s="251"/>
    </row>
    <row r="503" spans="1:14" s="144" customFormat="1" x14ac:dyDescent="0.3">
      <c r="A503" s="10">
        <v>5513</v>
      </c>
      <c r="B503" s="10" t="s">
        <v>112</v>
      </c>
      <c r="C503" s="99">
        <v>0</v>
      </c>
      <c r="D503" s="99">
        <v>-498</v>
      </c>
      <c r="E503" s="48">
        <v>0</v>
      </c>
      <c r="F503" s="31">
        <v>-1170</v>
      </c>
      <c r="G503" s="145">
        <v>-3640</v>
      </c>
      <c r="H503" s="145">
        <v>-8400</v>
      </c>
      <c r="I503" s="145">
        <v>-4154.76</v>
      </c>
      <c r="J503" s="203">
        <v>-4200</v>
      </c>
      <c r="K503" s="296"/>
      <c r="L503" s="299"/>
      <c r="N503" s="251"/>
    </row>
    <row r="504" spans="1:14" s="144" customFormat="1" x14ac:dyDescent="0.3">
      <c r="A504" s="10">
        <v>5525</v>
      </c>
      <c r="B504" s="10" t="s">
        <v>199</v>
      </c>
      <c r="C504" s="99">
        <v>-3485</v>
      </c>
      <c r="D504" s="99">
        <v>0</v>
      </c>
      <c r="E504" s="48">
        <v>-6852</v>
      </c>
      <c r="F504" s="31">
        <v>0</v>
      </c>
      <c r="G504" s="145">
        <v>-8823</v>
      </c>
      <c r="H504" s="145">
        <v>-15000</v>
      </c>
      <c r="I504" s="145">
        <v>-9152.07</v>
      </c>
      <c r="J504" s="203">
        <v>-15000</v>
      </c>
      <c r="K504" s="296"/>
      <c r="L504" s="328"/>
      <c r="N504" s="251"/>
    </row>
    <row r="505" spans="1:14" s="144" customFormat="1" hidden="1" x14ac:dyDescent="0.3">
      <c r="A505" s="10">
        <v>5526</v>
      </c>
      <c r="B505" s="10" t="s">
        <v>289</v>
      </c>
      <c r="C505" s="99">
        <v>0</v>
      </c>
      <c r="D505" s="99">
        <v>-9918</v>
      </c>
      <c r="E505" s="48">
        <v>0</v>
      </c>
      <c r="F505" s="31">
        <v>-13974</v>
      </c>
      <c r="G505" s="145">
        <v>-1834</v>
      </c>
      <c r="H505" s="145">
        <v>0</v>
      </c>
      <c r="I505" s="145"/>
      <c r="J505" s="203"/>
      <c r="K505" s="296"/>
      <c r="L505" s="299"/>
      <c r="N505" s="251"/>
    </row>
    <row r="506" spans="1:14" s="120" customFormat="1" ht="13" x14ac:dyDescent="0.3">
      <c r="A506" s="60">
        <v>10400</v>
      </c>
      <c r="B506" s="58" t="s">
        <v>294</v>
      </c>
      <c r="C506" s="185">
        <f t="shared" ref="C506:F506" si="127">C507</f>
        <v>0</v>
      </c>
      <c r="D506" s="185">
        <f t="shared" si="127"/>
        <v>0</v>
      </c>
      <c r="E506" s="185">
        <f t="shared" si="127"/>
        <v>0</v>
      </c>
      <c r="F506" s="185">
        <f t="shared" si="127"/>
        <v>0</v>
      </c>
      <c r="G506" s="185">
        <f>G507</f>
        <v>-42518</v>
      </c>
      <c r="H506" s="185">
        <f>H507</f>
        <v>-30820</v>
      </c>
      <c r="I506" s="185">
        <f>I507</f>
        <v>-21320.21</v>
      </c>
      <c r="J506" s="185">
        <f>J507</f>
        <v>0</v>
      </c>
      <c r="K506" s="353"/>
      <c r="L506" s="330"/>
      <c r="N506" s="250"/>
    </row>
    <row r="507" spans="1:14" s="144" customFormat="1" x14ac:dyDescent="0.3">
      <c r="A507" s="10">
        <v>5526</v>
      </c>
      <c r="B507" s="10" t="s">
        <v>289</v>
      </c>
      <c r="C507" s="99">
        <v>0</v>
      </c>
      <c r="D507" s="99">
        <v>0</v>
      </c>
      <c r="E507" s="99">
        <v>0</v>
      </c>
      <c r="F507" s="99">
        <v>0</v>
      </c>
      <c r="G507" s="99">
        <v>-42518</v>
      </c>
      <c r="H507" s="99">
        <v>-30820</v>
      </c>
      <c r="I507" s="99">
        <v>-21320.21</v>
      </c>
      <c r="J507" s="203">
        <v>0</v>
      </c>
      <c r="K507" s="354"/>
      <c r="L507" s="299"/>
      <c r="N507" s="251"/>
    </row>
    <row r="508" spans="1:14" x14ac:dyDescent="0.3">
      <c r="A508" s="58" t="s">
        <v>295</v>
      </c>
      <c r="B508" s="58" t="s">
        <v>296</v>
      </c>
      <c r="C508" s="59">
        <f t="shared" ref="C508:D508" si="128">SUM(C509:C517)</f>
        <v>-29616</v>
      </c>
      <c r="D508" s="59">
        <f t="shared" si="128"/>
        <v>-22966</v>
      </c>
      <c r="E508" s="59">
        <f>SUM(E509:E517)</f>
        <v>-66991</v>
      </c>
      <c r="F508" s="59">
        <f t="shared" ref="F508" si="129">SUM(F509:F517)</f>
        <v>-19913</v>
      </c>
      <c r="G508" s="59">
        <f>SUM(G509:G517)</f>
        <v>-55994</v>
      </c>
      <c r="H508" s="59">
        <f>SUM(H509:H517)</f>
        <v>-50500</v>
      </c>
      <c r="I508" s="59">
        <f>SUM(I509:I517)</f>
        <v>-66511.66</v>
      </c>
      <c r="J508" s="59">
        <f>SUM(J509:J517)</f>
        <v>-59500</v>
      </c>
      <c r="K508" s="288"/>
      <c r="L508" s="292"/>
    </row>
    <row r="509" spans="1:14" s="144" customFormat="1" x14ac:dyDescent="0.3">
      <c r="A509" s="10">
        <v>4130</v>
      </c>
      <c r="B509" s="10" t="s">
        <v>297</v>
      </c>
      <c r="C509" s="99">
        <v>-11120</v>
      </c>
      <c r="D509" s="31">
        <v>-6355</v>
      </c>
      <c r="E509" s="48">
        <v>-8770</v>
      </c>
      <c r="F509" s="31">
        <v>-7950</v>
      </c>
      <c r="G509" s="145">
        <v>-15268</v>
      </c>
      <c r="H509" s="145">
        <v>-15000</v>
      </c>
      <c r="I509" s="145">
        <v>-18781.150000000001</v>
      </c>
      <c r="J509" s="203">
        <v>-20000</v>
      </c>
      <c r="K509" s="296"/>
      <c r="L509" s="299"/>
      <c r="N509" s="251"/>
    </row>
    <row r="510" spans="1:14" s="144" customFormat="1" x14ac:dyDescent="0.3">
      <c r="A510" s="10">
        <v>4134</v>
      </c>
      <c r="B510" s="10" t="s">
        <v>298</v>
      </c>
      <c r="C510" s="99">
        <v>-14763</v>
      </c>
      <c r="D510" s="31">
        <v>-5479</v>
      </c>
      <c r="E510" s="48">
        <v>-54578</v>
      </c>
      <c r="F510" s="31">
        <v>-4293</v>
      </c>
      <c r="G510" s="145">
        <v>-16542</v>
      </c>
      <c r="H510" s="145">
        <v>-15000</v>
      </c>
      <c r="I510" s="145">
        <v>-12572.45</v>
      </c>
      <c r="J510" s="203">
        <v>-15000</v>
      </c>
      <c r="K510" s="296"/>
      <c r="L510" s="299"/>
      <c r="N510" s="251"/>
    </row>
    <row r="511" spans="1:14" s="144" customFormat="1" x14ac:dyDescent="0.3">
      <c r="A511" s="10">
        <v>4138</v>
      </c>
      <c r="B511" s="10" t="s">
        <v>288</v>
      </c>
      <c r="C511" s="99">
        <v>-3733</v>
      </c>
      <c r="D511" s="31">
        <v>-5562</v>
      </c>
      <c r="E511" s="48">
        <v>-3643</v>
      </c>
      <c r="F511" s="31">
        <v>-3732</v>
      </c>
      <c r="G511" s="145">
        <v>-23029</v>
      </c>
      <c r="H511" s="145">
        <v>-19500</v>
      </c>
      <c r="I511" s="145">
        <v>-18945.12</v>
      </c>
      <c r="J511" s="203">
        <v>-24500</v>
      </c>
      <c r="K511" s="296"/>
      <c r="L511" s="328"/>
      <c r="N511" s="251"/>
    </row>
    <row r="512" spans="1:14" s="144" customFormat="1" x14ac:dyDescent="0.3">
      <c r="A512" s="10">
        <v>4500</v>
      </c>
      <c r="B512" s="10" t="s">
        <v>161</v>
      </c>
      <c r="C512" s="99">
        <v>0</v>
      </c>
      <c r="D512" s="31">
        <v>-300</v>
      </c>
      <c r="E512" s="48">
        <v>0</v>
      </c>
      <c r="F512" s="31">
        <v>-150</v>
      </c>
      <c r="G512" s="145">
        <v>0</v>
      </c>
      <c r="H512" s="145">
        <v>0</v>
      </c>
      <c r="I512" s="145">
        <v>-450</v>
      </c>
      <c r="J512" s="203"/>
      <c r="K512" s="296"/>
      <c r="L512" s="299"/>
      <c r="N512" s="251"/>
    </row>
    <row r="513" spans="1:14" s="144" customFormat="1" x14ac:dyDescent="0.3">
      <c r="A513" s="10">
        <v>5005</v>
      </c>
      <c r="B513" s="10" t="s">
        <v>123</v>
      </c>
      <c r="C513" s="99">
        <v>0</v>
      </c>
      <c r="D513" s="31">
        <v>-865</v>
      </c>
      <c r="E513" s="48">
        <v>0</v>
      </c>
      <c r="F513" s="31">
        <v>-1276</v>
      </c>
      <c r="G513" s="145">
        <v>0</v>
      </c>
      <c r="H513" s="145">
        <v>0</v>
      </c>
      <c r="I513" s="145">
        <v>-800</v>
      </c>
      <c r="J513" s="203"/>
      <c r="K513" s="296"/>
      <c r="L513" s="299"/>
      <c r="N513" s="251"/>
    </row>
    <row r="514" spans="1:14" s="144" customFormat="1" x14ac:dyDescent="0.3">
      <c r="A514" s="10">
        <v>506</v>
      </c>
      <c r="B514" s="10" t="s">
        <v>108</v>
      </c>
      <c r="C514" s="99">
        <v>0</v>
      </c>
      <c r="D514" s="31">
        <v>-304</v>
      </c>
      <c r="E514" s="48">
        <v>0</v>
      </c>
      <c r="F514" s="31">
        <v>-431</v>
      </c>
      <c r="G514" s="145">
        <v>0</v>
      </c>
      <c r="H514" s="145">
        <v>0</v>
      </c>
      <c r="I514" s="145">
        <v>-270.39999999999998</v>
      </c>
      <c r="J514" s="203"/>
      <c r="L514" s="305"/>
      <c r="N514" s="251"/>
    </row>
    <row r="515" spans="1:14" s="144" customFormat="1" x14ac:dyDescent="0.3">
      <c r="A515" s="10">
        <v>5500</v>
      </c>
      <c r="B515" s="10" t="s">
        <v>109</v>
      </c>
      <c r="C515" s="99">
        <v>0</v>
      </c>
      <c r="D515" s="31">
        <v>-12</v>
      </c>
      <c r="E515" s="48">
        <v>0</v>
      </c>
      <c r="F515" s="31">
        <v>0</v>
      </c>
      <c r="G515" s="145">
        <v>0</v>
      </c>
      <c r="H515" s="145">
        <v>0</v>
      </c>
      <c r="I515" s="145">
        <v>-11981.02</v>
      </c>
      <c r="J515" s="203"/>
      <c r="L515" s="305"/>
      <c r="N515" s="262"/>
    </row>
    <row r="516" spans="1:14" s="144" customFormat="1" x14ac:dyDescent="0.3">
      <c r="A516" s="10">
        <v>5513</v>
      </c>
      <c r="B516" s="10" t="s">
        <v>112</v>
      </c>
      <c r="C516" s="99">
        <v>0</v>
      </c>
      <c r="D516" s="31">
        <v>0</v>
      </c>
      <c r="E516" s="48">
        <v>0</v>
      </c>
      <c r="F516" s="31">
        <v>-640</v>
      </c>
      <c r="G516" s="145">
        <v>0</v>
      </c>
      <c r="H516" s="145">
        <v>0</v>
      </c>
      <c r="I516" s="145">
        <v>-534.02</v>
      </c>
      <c r="J516" s="203"/>
      <c r="L516" s="305"/>
      <c r="N516" s="262"/>
    </row>
    <row r="517" spans="1:14" s="144" customFormat="1" x14ac:dyDescent="0.3">
      <c r="A517" s="10">
        <v>5526</v>
      </c>
      <c r="B517" s="10" t="s">
        <v>289</v>
      </c>
      <c r="C517" s="99">
        <v>0</v>
      </c>
      <c r="D517" s="31">
        <v>-4089</v>
      </c>
      <c r="E517" s="48">
        <v>0</v>
      </c>
      <c r="F517" s="31">
        <v>-1441</v>
      </c>
      <c r="G517" s="145">
        <v>-1155</v>
      </c>
      <c r="H517" s="145">
        <v>-1000</v>
      </c>
      <c r="I517" s="145">
        <v>-2177.5</v>
      </c>
      <c r="J517" s="203">
        <v>0</v>
      </c>
      <c r="L517" s="305"/>
      <c r="N517" s="262"/>
    </row>
    <row r="518" spans="1:14" hidden="1" x14ac:dyDescent="0.3">
      <c r="A518" s="58" t="s">
        <v>299</v>
      </c>
      <c r="B518" s="58" t="s">
        <v>300</v>
      </c>
      <c r="C518" s="59">
        <f t="shared" ref="C518:D518" si="130">SUM(C519:C521)</f>
        <v>0</v>
      </c>
      <c r="D518" s="59">
        <f t="shared" si="130"/>
        <v>-1172</v>
      </c>
      <c r="E518" s="59">
        <f>SUM(E519:E521)</f>
        <v>0</v>
      </c>
      <c r="F518" s="59">
        <f t="shared" ref="F518" si="131">SUM(F519:F521)</f>
        <v>-1209</v>
      </c>
      <c r="G518" s="59">
        <f t="shared" ref="G518" si="132">SUM(G519:G521)</f>
        <v>0</v>
      </c>
      <c r="H518" s="59">
        <f t="shared" ref="H518" si="133">SUM(H519:H521)</f>
        <v>0</v>
      </c>
      <c r="I518" s="59"/>
      <c r="J518" s="202"/>
      <c r="N518" s="263"/>
    </row>
    <row r="519" spans="1:14" s="144" customFormat="1" hidden="1" x14ac:dyDescent="0.3">
      <c r="A519" s="10">
        <v>4132</v>
      </c>
      <c r="B519" s="10" t="s">
        <v>301</v>
      </c>
      <c r="C519" s="99">
        <v>0</v>
      </c>
      <c r="D519" s="31">
        <v>-777</v>
      </c>
      <c r="E519" s="48">
        <v>0</v>
      </c>
      <c r="F519" s="31">
        <v>-400</v>
      </c>
      <c r="G519" s="146">
        <v>0</v>
      </c>
      <c r="H519" s="146">
        <v>0</v>
      </c>
      <c r="I519" s="146"/>
      <c r="J519" s="203"/>
      <c r="L519" s="305"/>
      <c r="N519" s="262"/>
    </row>
    <row r="520" spans="1:14" s="144" customFormat="1" hidden="1" x14ac:dyDescent="0.3">
      <c r="A520" s="10">
        <v>5005</v>
      </c>
      <c r="B520" s="10" t="s">
        <v>123</v>
      </c>
      <c r="C520" s="99">
        <v>0</v>
      </c>
      <c r="D520" s="31">
        <v>-271</v>
      </c>
      <c r="E520" s="48">
        <v>0</v>
      </c>
      <c r="F520" s="31">
        <v>-617</v>
      </c>
      <c r="G520" s="146">
        <v>0</v>
      </c>
      <c r="H520" s="146">
        <v>0</v>
      </c>
      <c r="I520" s="146"/>
      <c r="J520" s="203"/>
      <c r="L520" s="305"/>
      <c r="N520" s="262"/>
    </row>
    <row r="521" spans="1:14" s="144" customFormat="1" hidden="1" x14ac:dyDescent="0.3">
      <c r="A521" s="10">
        <v>506</v>
      </c>
      <c r="B521" s="10" t="s">
        <v>108</v>
      </c>
      <c r="C521" s="99">
        <v>0</v>
      </c>
      <c r="D521" s="31">
        <v>-124</v>
      </c>
      <c r="E521" s="48">
        <v>0</v>
      </c>
      <c r="F521" s="31">
        <v>-192</v>
      </c>
      <c r="G521" s="146">
        <v>0</v>
      </c>
      <c r="H521" s="146">
        <v>0</v>
      </c>
      <c r="I521" s="146"/>
      <c r="J521" s="203"/>
      <c r="L521" s="305"/>
      <c r="N521" s="262"/>
    </row>
    <row r="522" spans="1:14" hidden="1" x14ac:dyDescent="0.3">
      <c r="A522" s="58" t="s">
        <v>302</v>
      </c>
      <c r="B522" s="58" t="s">
        <v>303</v>
      </c>
      <c r="C522" s="59">
        <f t="shared" ref="C522:D522" si="134">SUM(C523:C524)</f>
        <v>0</v>
      </c>
      <c r="D522" s="59">
        <f t="shared" si="134"/>
        <v>-2371</v>
      </c>
      <c r="E522" s="59">
        <f>SUM(E523:E524)</f>
        <v>0</v>
      </c>
      <c r="F522" s="59">
        <f t="shared" ref="F522" si="135">SUM(F523:F524)</f>
        <v>-1234</v>
      </c>
      <c r="G522" s="59">
        <f t="shared" ref="G522" si="136">SUM(G523:G524)</f>
        <v>0</v>
      </c>
      <c r="H522" s="59">
        <f t="shared" ref="H522" si="137">SUM(H523:H524)</f>
        <v>0</v>
      </c>
      <c r="I522" s="59"/>
      <c r="J522" s="202"/>
      <c r="N522" s="263"/>
    </row>
    <row r="523" spans="1:14" s="144" customFormat="1" hidden="1" x14ac:dyDescent="0.3">
      <c r="A523" s="10">
        <v>5511</v>
      </c>
      <c r="B523" s="10" t="s">
        <v>125</v>
      </c>
      <c r="C523" s="99">
        <v>0</v>
      </c>
      <c r="D523" s="31">
        <v>-1238</v>
      </c>
      <c r="E523" s="48">
        <v>0</v>
      </c>
      <c r="F523" s="31">
        <v>-1234</v>
      </c>
      <c r="G523" s="146">
        <v>0</v>
      </c>
      <c r="H523" s="146">
        <v>0</v>
      </c>
      <c r="I523" s="146"/>
      <c r="J523" s="203"/>
      <c r="L523" s="305"/>
      <c r="N523" s="262"/>
    </row>
    <row r="524" spans="1:14" s="144" customFormat="1" ht="4.5" hidden="1" customHeight="1" x14ac:dyDescent="0.3">
      <c r="A524" s="10">
        <v>5526</v>
      </c>
      <c r="B524" s="10" t="s">
        <v>289</v>
      </c>
      <c r="C524" s="99">
        <v>0</v>
      </c>
      <c r="D524" s="31">
        <v>-1133</v>
      </c>
      <c r="E524" s="48">
        <v>0</v>
      </c>
      <c r="F524" s="31">
        <v>0</v>
      </c>
      <c r="G524" s="146">
        <v>0</v>
      </c>
      <c r="H524" s="146">
        <v>0</v>
      </c>
      <c r="I524" s="146"/>
      <c r="J524" s="203"/>
      <c r="L524" s="305"/>
      <c r="N524" s="262"/>
    </row>
    <row r="525" spans="1:14" x14ac:dyDescent="0.3">
      <c r="A525" s="58" t="s">
        <v>304</v>
      </c>
      <c r="B525" s="58" t="s">
        <v>305</v>
      </c>
      <c r="C525" s="59">
        <f t="shared" ref="C525:D525" si="138">C526</f>
        <v>-20134</v>
      </c>
      <c r="D525" s="59">
        <f t="shared" si="138"/>
        <v>-4989</v>
      </c>
      <c r="E525" s="59">
        <f>E526</f>
        <v>-11983</v>
      </c>
      <c r="F525" s="59">
        <f t="shared" ref="F525" si="139">F526</f>
        <v>-4009</v>
      </c>
      <c r="G525" s="59">
        <f>G526</f>
        <v>-17826</v>
      </c>
      <c r="H525" s="59">
        <f>H526</f>
        <v>-13440</v>
      </c>
      <c r="I525" s="59">
        <f>I526</f>
        <v>-28431.22</v>
      </c>
      <c r="J525" s="59">
        <f>J526</f>
        <v>-14000</v>
      </c>
      <c r="N525" s="263"/>
    </row>
    <row r="526" spans="1:14" s="144" customFormat="1" x14ac:dyDescent="0.3">
      <c r="A526" s="10">
        <v>4131</v>
      </c>
      <c r="B526" s="10" t="s">
        <v>306</v>
      </c>
      <c r="C526" s="99">
        <v>-20134</v>
      </c>
      <c r="D526" s="31">
        <v>-4989</v>
      </c>
      <c r="E526" s="48">
        <v>-11983</v>
      </c>
      <c r="F526" s="31">
        <v>-4009</v>
      </c>
      <c r="G526" s="145">
        <v>-17826</v>
      </c>
      <c r="H526" s="145">
        <v>-13440</v>
      </c>
      <c r="I526" s="145">
        <v>-28431.22</v>
      </c>
      <c r="J526" s="203">
        <v>-14000</v>
      </c>
      <c r="K526" s="296"/>
      <c r="L526" s="328"/>
      <c r="N526" s="262"/>
    </row>
    <row r="527" spans="1:14" s="120" customFormat="1" ht="13" hidden="1" x14ac:dyDescent="0.3">
      <c r="A527" s="57" t="s">
        <v>307</v>
      </c>
      <c r="B527" s="58" t="s">
        <v>308</v>
      </c>
      <c r="C527" s="101">
        <f>C528</f>
        <v>-402</v>
      </c>
      <c r="D527" s="101">
        <f t="shared" ref="D527:H527" si="140">D528</f>
        <v>0</v>
      </c>
      <c r="E527" s="101">
        <f t="shared" si="140"/>
        <v>-711</v>
      </c>
      <c r="F527" s="101">
        <f t="shared" si="140"/>
        <v>0</v>
      </c>
      <c r="G527" s="101">
        <f t="shared" si="140"/>
        <v>0</v>
      </c>
      <c r="H527" s="101">
        <f t="shared" si="140"/>
        <v>0</v>
      </c>
      <c r="I527" s="101"/>
      <c r="J527" s="204"/>
      <c r="K527" s="329"/>
      <c r="L527" s="330"/>
      <c r="N527" s="250"/>
    </row>
    <row r="528" spans="1:14" s="144" customFormat="1" hidden="1" x14ac:dyDescent="0.3">
      <c r="A528" s="10">
        <v>4131</v>
      </c>
      <c r="B528" s="10" t="s">
        <v>306</v>
      </c>
      <c r="C528" s="99">
        <v>-402</v>
      </c>
      <c r="D528" s="99">
        <v>0</v>
      </c>
      <c r="E528" s="48">
        <v>-711</v>
      </c>
      <c r="F528" s="31">
        <v>0</v>
      </c>
      <c r="G528" s="146">
        <v>0</v>
      </c>
      <c r="H528" s="146">
        <v>0</v>
      </c>
      <c r="I528" s="146"/>
      <c r="J528" s="203"/>
      <c r="K528" s="296"/>
      <c r="L528" s="299"/>
      <c r="N528" s="251"/>
    </row>
    <row r="529" spans="1:118" s="120" customFormat="1" ht="13" hidden="1" x14ac:dyDescent="0.3">
      <c r="A529" s="57" t="s">
        <v>309</v>
      </c>
      <c r="B529" s="58" t="s">
        <v>310</v>
      </c>
      <c r="C529" s="101">
        <f>C530</f>
        <v>-2768</v>
      </c>
      <c r="D529" s="101">
        <f t="shared" ref="D529:H529" si="141">D530</f>
        <v>0</v>
      </c>
      <c r="E529" s="101">
        <f t="shared" si="141"/>
        <v>-3920</v>
      </c>
      <c r="F529" s="101">
        <f t="shared" si="141"/>
        <v>0</v>
      </c>
      <c r="G529" s="101">
        <f t="shared" si="141"/>
        <v>0</v>
      </c>
      <c r="H529" s="101">
        <f t="shared" si="141"/>
        <v>0</v>
      </c>
      <c r="I529" s="101"/>
      <c r="J529" s="204"/>
      <c r="K529" s="329"/>
      <c r="L529" s="330"/>
      <c r="N529" s="250"/>
    </row>
    <row r="530" spans="1:118" s="144" customFormat="1" hidden="1" x14ac:dyDescent="0.3">
      <c r="A530" s="10">
        <v>4131</v>
      </c>
      <c r="B530" s="10" t="s">
        <v>306</v>
      </c>
      <c r="C530" s="99">
        <v>-2768</v>
      </c>
      <c r="D530" s="99">
        <v>0</v>
      </c>
      <c r="E530" s="48">
        <v>-3920</v>
      </c>
      <c r="F530" s="31">
        <v>0</v>
      </c>
      <c r="G530" s="146">
        <v>0</v>
      </c>
      <c r="H530" s="146">
        <v>0</v>
      </c>
      <c r="I530" s="146"/>
      <c r="J530" s="203"/>
      <c r="K530" s="296"/>
      <c r="L530" s="299"/>
      <c r="N530" s="251"/>
    </row>
    <row r="531" spans="1:118" s="120" customFormat="1" ht="14.25" hidden="1" customHeight="1" x14ac:dyDescent="0.3">
      <c r="A531" s="57" t="s">
        <v>311</v>
      </c>
      <c r="B531" s="58" t="s">
        <v>312</v>
      </c>
      <c r="C531" s="101">
        <f>C532</f>
        <v>-13275</v>
      </c>
      <c r="D531" s="101">
        <f t="shared" ref="D531:H531" si="142">D532</f>
        <v>0</v>
      </c>
      <c r="E531" s="101">
        <f t="shared" si="142"/>
        <v>-12555</v>
      </c>
      <c r="F531" s="101">
        <f t="shared" si="142"/>
        <v>0</v>
      </c>
      <c r="G531" s="101">
        <f t="shared" si="142"/>
        <v>0</v>
      </c>
      <c r="H531" s="101">
        <f t="shared" si="142"/>
        <v>0</v>
      </c>
      <c r="I531" s="101"/>
      <c r="J531" s="204"/>
      <c r="K531" s="329"/>
      <c r="L531" s="330"/>
      <c r="N531" s="250"/>
    </row>
    <row r="532" spans="1:118" s="144" customFormat="1" hidden="1" x14ac:dyDescent="0.3">
      <c r="A532" s="10">
        <v>4131</v>
      </c>
      <c r="B532" s="10" t="s">
        <v>306</v>
      </c>
      <c r="C532" s="99">
        <v>-13275</v>
      </c>
      <c r="D532" s="99">
        <v>0</v>
      </c>
      <c r="E532" s="48">
        <v>-12555</v>
      </c>
      <c r="F532" s="31">
        <v>0</v>
      </c>
      <c r="G532" s="146">
        <v>0</v>
      </c>
      <c r="H532" s="146">
        <v>0</v>
      </c>
      <c r="I532" s="146"/>
      <c r="J532" s="203"/>
      <c r="K532" s="296"/>
      <c r="L532" s="299"/>
      <c r="N532" s="251"/>
    </row>
    <row r="533" spans="1:118" x14ac:dyDescent="0.3">
      <c r="A533" s="60">
        <v>10702</v>
      </c>
      <c r="B533" s="58" t="s">
        <v>313</v>
      </c>
      <c r="C533" s="59">
        <f t="shared" ref="C533:F533" si="143">SUM(C536:C537)</f>
        <v>-23165</v>
      </c>
      <c r="D533" s="59">
        <f t="shared" si="143"/>
        <v>0</v>
      </c>
      <c r="E533" s="59">
        <f t="shared" si="143"/>
        <v>-23472</v>
      </c>
      <c r="F533" s="59">
        <f t="shared" si="143"/>
        <v>0</v>
      </c>
      <c r="G533" s="59">
        <f>SUM(G534:G541)</f>
        <v>-53069</v>
      </c>
      <c r="H533" s="59">
        <f>SUM(H534:H541)</f>
        <v>-68100</v>
      </c>
      <c r="I533" s="59">
        <f>SUM(I534:I541)</f>
        <v>-73660.010000000009</v>
      </c>
      <c r="J533" s="59">
        <f>SUM(J534:J541)</f>
        <v>-68000</v>
      </c>
      <c r="K533" s="288"/>
      <c r="L533" s="292"/>
    </row>
    <row r="534" spans="1:118" x14ac:dyDescent="0.3">
      <c r="A534" s="61">
        <v>4130</v>
      </c>
      <c r="B534" s="146" t="s">
        <v>297</v>
      </c>
      <c r="C534" s="146">
        <v>0</v>
      </c>
      <c r="D534" s="146">
        <v>0</v>
      </c>
      <c r="E534" s="146">
        <v>0</v>
      </c>
      <c r="F534" s="146">
        <v>0</v>
      </c>
      <c r="G534" s="145">
        <v>0</v>
      </c>
      <c r="H534" s="145">
        <v>0</v>
      </c>
      <c r="I534" s="145"/>
      <c r="J534" s="202"/>
      <c r="K534" s="288"/>
      <c r="L534" s="292"/>
    </row>
    <row r="535" spans="1:118" x14ac:dyDescent="0.3">
      <c r="A535" s="61">
        <v>4132</v>
      </c>
      <c r="B535" s="146" t="s">
        <v>301</v>
      </c>
      <c r="C535" s="146">
        <v>0</v>
      </c>
      <c r="D535" s="146">
        <v>0</v>
      </c>
      <c r="E535" s="146">
        <v>0</v>
      </c>
      <c r="F535" s="146">
        <v>0</v>
      </c>
      <c r="G535" s="145">
        <v>0</v>
      </c>
      <c r="H535" s="145">
        <v>0</v>
      </c>
      <c r="I535" s="145"/>
      <c r="J535" s="202"/>
      <c r="K535" s="288"/>
      <c r="L535" s="292"/>
    </row>
    <row r="536" spans="1:118" s="144" customFormat="1" x14ac:dyDescent="0.3">
      <c r="A536" s="61">
        <v>4138</v>
      </c>
      <c r="B536" s="47" t="s">
        <v>288</v>
      </c>
      <c r="C536" s="100">
        <v>-21501</v>
      </c>
      <c r="D536" s="100">
        <v>0</v>
      </c>
      <c r="E536" s="48">
        <v>-21550</v>
      </c>
      <c r="F536" s="48">
        <v>0</v>
      </c>
      <c r="G536" s="145">
        <v>-53069</v>
      </c>
      <c r="H536" s="145">
        <v>-50000</v>
      </c>
      <c r="I536" s="145">
        <v>-30332.82</v>
      </c>
      <c r="J536" s="203">
        <v>-50000</v>
      </c>
      <c r="K536" s="296"/>
      <c r="L536" s="299"/>
      <c r="N536" s="251"/>
    </row>
    <row r="537" spans="1:118" s="144" customFormat="1" x14ac:dyDescent="0.3">
      <c r="A537" s="62">
        <v>4500</v>
      </c>
      <c r="B537" s="10" t="s">
        <v>314</v>
      </c>
      <c r="C537" s="99">
        <v>-1664</v>
      </c>
      <c r="D537" s="99">
        <v>0</v>
      </c>
      <c r="E537" s="48">
        <v>-1922</v>
      </c>
      <c r="F537" s="31">
        <v>0</v>
      </c>
      <c r="G537" s="145">
        <v>0</v>
      </c>
      <c r="H537" s="145">
        <v>-18100</v>
      </c>
      <c r="I537" s="145">
        <v>-43327.19</v>
      </c>
      <c r="J537" s="203">
        <v>-18000</v>
      </c>
      <c r="K537" s="296"/>
      <c r="L537" s="298"/>
      <c r="N537" s="251"/>
    </row>
    <row r="538" spans="1:118" s="144" customFormat="1" hidden="1" x14ac:dyDescent="0.3">
      <c r="A538" s="62">
        <v>5008</v>
      </c>
      <c r="B538" s="10" t="s">
        <v>315</v>
      </c>
      <c r="C538" s="99">
        <v>0</v>
      </c>
      <c r="D538" s="99">
        <v>0</v>
      </c>
      <c r="E538" s="48">
        <v>0</v>
      </c>
      <c r="F538" s="31">
        <v>0</v>
      </c>
      <c r="G538" s="145">
        <v>0</v>
      </c>
      <c r="H538" s="145">
        <v>0</v>
      </c>
      <c r="I538" s="145"/>
      <c r="J538" s="203"/>
      <c r="L538" s="305"/>
      <c r="N538" s="251"/>
    </row>
    <row r="539" spans="1:118" s="144" customFormat="1" hidden="1" x14ac:dyDescent="0.3">
      <c r="A539" s="62">
        <v>506</v>
      </c>
      <c r="B539" s="10" t="s">
        <v>108</v>
      </c>
      <c r="C539" s="99">
        <v>0</v>
      </c>
      <c r="D539" s="99">
        <v>0</v>
      </c>
      <c r="E539" s="48">
        <v>0</v>
      </c>
      <c r="F539" s="31">
        <v>0</v>
      </c>
      <c r="G539" s="145">
        <v>0</v>
      </c>
      <c r="H539" s="145">
        <v>0</v>
      </c>
      <c r="I539" s="145"/>
      <c r="J539" s="203"/>
      <c r="L539" s="305"/>
      <c r="N539" s="251"/>
    </row>
    <row r="540" spans="1:118" s="144" customFormat="1" hidden="1" x14ac:dyDescent="0.3">
      <c r="A540" s="62">
        <v>5511</v>
      </c>
      <c r="B540" s="10" t="s">
        <v>125</v>
      </c>
      <c r="C540" s="99"/>
      <c r="D540" s="99"/>
      <c r="E540" s="48"/>
      <c r="F540" s="31"/>
      <c r="G540" s="145"/>
      <c r="H540" s="145">
        <v>0</v>
      </c>
      <c r="I540" s="145"/>
      <c r="J540" s="203"/>
      <c r="L540" s="305"/>
      <c r="N540" s="251"/>
    </row>
    <row r="541" spans="1:118" s="144" customFormat="1" hidden="1" x14ac:dyDescent="0.3">
      <c r="A541" s="62">
        <v>5526</v>
      </c>
      <c r="B541" s="10" t="s">
        <v>289</v>
      </c>
      <c r="C541" s="99">
        <v>0</v>
      </c>
      <c r="D541" s="99">
        <v>0</v>
      </c>
      <c r="E541" s="48">
        <v>0</v>
      </c>
      <c r="F541" s="31">
        <v>0</v>
      </c>
      <c r="G541" s="145"/>
      <c r="H541" s="145">
        <v>0</v>
      </c>
      <c r="I541" s="145"/>
      <c r="J541" s="203"/>
      <c r="L541" s="305"/>
      <c r="N541" s="251"/>
    </row>
    <row r="542" spans="1:118" hidden="1" x14ac:dyDescent="0.3">
      <c r="A542" s="58" t="s">
        <v>316</v>
      </c>
      <c r="B542" s="58" t="s">
        <v>317</v>
      </c>
      <c r="C542" s="59">
        <f>SUM(C543:C546)</f>
        <v>0</v>
      </c>
      <c r="D542" s="59">
        <f t="shared" ref="D542:F542" si="144">SUM(D543:D546)</f>
        <v>-1333</v>
      </c>
      <c r="E542" s="59">
        <f t="shared" si="144"/>
        <v>-2668</v>
      </c>
      <c r="F542" s="59">
        <f t="shared" si="144"/>
        <v>-514</v>
      </c>
      <c r="G542" s="59">
        <f t="shared" ref="G542" si="145">SUM(G543:G546)</f>
        <v>0</v>
      </c>
      <c r="H542" s="59">
        <f t="shared" ref="H542" si="146">SUM(H543:H546)</f>
        <v>0</v>
      </c>
      <c r="I542" s="59"/>
      <c r="J542" s="202"/>
      <c r="K542" s="118"/>
      <c r="L542" s="297"/>
      <c r="M542" s="118"/>
      <c r="N542" s="246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  <c r="BB542" s="118"/>
      <c r="BC542" s="118"/>
      <c r="BD542" s="118"/>
      <c r="BE542" s="118"/>
      <c r="BF542" s="118"/>
      <c r="BG542" s="118"/>
      <c r="BH542" s="118"/>
      <c r="BI542" s="118"/>
      <c r="BJ542" s="118"/>
      <c r="BK542" s="118"/>
      <c r="BL542" s="118"/>
      <c r="BM542" s="118"/>
      <c r="BN542" s="118"/>
      <c r="BO542" s="118"/>
      <c r="BP542" s="118"/>
      <c r="BQ542" s="118"/>
      <c r="BR542" s="118"/>
      <c r="BS542" s="118"/>
      <c r="BT542" s="118"/>
      <c r="BU542" s="118"/>
      <c r="BV542" s="118"/>
      <c r="BW542" s="118"/>
      <c r="BX542" s="118"/>
      <c r="BY542" s="118"/>
      <c r="BZ542" s="118"/>
      <c r="CA542" s="118"/>
      <c r="CB542" s="118"/>
      <c r="CC542" s="118"/>
      <c r="CD542" s="118"/>
      <c r="CE542" s="118"/>
      <c r="CF542" s="118"/>
      <c r="CG542" s="118"/>
      <c r="CH542" s="118"/>
      <c r="CI542" s="118"/>
      <c r="CJ542" s="118"/>
      <c r="CK542" s="118"/>
      <c r="CL542" s="118"/>
      <c r="CM542" s="118"/>
      <c r="CN542" s="118"/>
      <c r="CO542" s="118"/>
      <c r="CP542" s="118"/>
      <c r="CQ542" s="118"/>
      <c r="CR542" s="118"/>
      <c r="CS542" s="118"/>
      <c r="CT542" s="118"/>
      <c r="CU542" s="118"/>
      <c r="CV542" s="118"/>
      <c r="CW542" s="118"/>
      <c r="CX542" s="118"/>
      <c r="CY542" s="118"/>
      <c r="CZ542" s="118"/>
      <c r="DA542" s="118"/>
      <c r="DB542" s="118"/>
      <c r="DC542" s="118"/>
      <c r="DD542" s="118"/>
      <c r="DE542" s="118"/>
      <c r="DF542" s="118"/>
      <c r="DG542" s="118"/>
      <c r="DH542" s="118"/>
      <c r="DI542" s="118"/>
      <c r="DJ542" s="118"/>
      <c r="DK542" s="118"/>
      <c r="DL542" s="118"/>
      <c r="DM542" s="118"/>
      <c r="DN542" s="118"/>
    </row>
    <row r="543" spans="1:118" s="121" customFormat="1" ht="15" hidden="1" customHeight="1" x14ac:dyDescent="0.3">
      <c r="A543" s="47">
        <v>5002</v>
      </c>
      <c r="B543" s="47" t="s">
        <v>121</v>
      </c>
      <c r="C543" s="48">
        <v>0</v>
      </c>
      <c r="D543" s="48">
        <v>0</v>
      </c>
      <c r="E543" s="48">
        <v>-1710</v>
      </c>
      <c r="F543" s="48">
        <v>0</v>
      </c>
      <c r="G543" s="145">
        <v>0</v>
      </c>
      <c r="H543" s="145">
        <v>0</v>
      </c>
      <c r="I543" s="145"/>
      <c r="J543" s="203"/>
      <c r="K543" s="141"/>
      <c r="L543" s="310"/>
      <c r="M543" s="141"/>
      <c r="N543" s="254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  <c r="AA543" s="141"/>
      <c r="AB543" s="141"/>
      <c r="AC543" s="141"/>
      <c r="AD543" s="141"/>
      <c r="AE543" s="141"/>
      <c r="AF543" s="141"/>
      <c r="AG543" s="141"/>
      <c r="AH543" s="141"/>
      <c r="AI543" s="141"/>
      <c r="AJ543" s="141"/>
      <c r="AK543" s="141"/>
      <c r="AL543" s="141"/>
      <c r="AM543" s="141"/>
      <c r="AN543" s="141"/>
      <c r="AO543" s="141"/>
      <c r="AP543" s="141"/>
      <c r="AQ543" s="141"/>
      <c r="AR543" s="141"/>
      <c r="AS543" s="141"/>
      <c r="AT543" s="141"/>
      <c r="AU543" s="141"/>
      <c r="AV543" s="141"/>
      <c r="AW543" s="141"/>
      <c r="AX543" s="141"/>
      <c r="AY543" s="141"/>
      <c r="AZ543" s="141"/>
      <c r="BA543" s="141"/>
      <c r="BB543" s="141"/>
      <c r="BC543" s="141"/>
      <c r="BD543" s="141"/>
      <c r="BE543" s="141"/>
      <c r="BF543" s="141"/>
      <c r="BG543" s="141"/>
      <c r="BH543" s="141"/>
      <c r="BI543" s="141"/>
      <c r="BJ543" s="141"/>
      <c r="BK543" s="141"/>
      <c r="BL543" s="141"/>
      <c r="BM543" s="141"/>
      <c r="BN543" s="141"/>
      <c r="BO543" s="141"/>
      <c r="BP543" s="141"/>
      <c r="BQ543" s="141"/>
      <c r="BR543" s="141"/>
      <c r="BS543" s="141"/>
      <c r="BT543" s="141"/>
      <c r="BU543" s="141"/>
      <c r="BV543" s="141"/>
      <c r="BW543" s="141"/>
      <c r="BX543" s="141"/>
      <c r="BY543" s="141"/>
      <c r="BZ543" s="141"/>
      <c r="CA543" s="141"/>
      <c r="CB543" s="141"/>
      <c r="CC543" s="141"/>
      <c r="CD543" s="141"/>
      <c r="CE543" s="141"/>
      <c r="CF543" s="141"/>
      <c r="CG543" s="141"/>
      <c r="CH543" s="141"/>
      <c r="CI543" s="141"/>
      <c r="CJ543" s="141"/>
      <c r="CK543" s="141"/>
      <c r="CL543" s="141"/>
      <c r="CM543" s="141"/>
      <c r="CN543" s="141"/>
      <c r="CO543" s="141"/>
      <c r="CP543" s="141"/>
      <c r="CQ543" s="141"/>
      <c r="CR543" s="141"/>
      <c r="CS543" s="141"/>
      <c r="CT543" s="141"/>
      <c r="CU543" s="141"/>
      <c r="CV543" s="141"/>
      <c r="CW543" s="141"/>
      <c r="CX543" s="141"/>
      <c r="CY543" s="141"/>
      <c r="CZ543" s="141"/>
      <c r="DA543" s="141"/>
      <c r="DB543" s="141"/>
      <c r="DC543" s="141"/>
      <c r="DD543" s="141"/>
      <c r="DE543" s="141"/>
      <c r="DF543" s="141"/>
      <c r="DG543" s="141"/>
      <c r="DH543" s="141"/>
      <c r="DI543" s="141"/>
      <c r="DJ543" s="141"/>
      <c r="DK543" s="141"/>
      <c r="DL543" s="141"/>
      <c r="DM543" s="141"/>
      <c r="DN543" s="141"/>
    </row>
    <row r="544" spans="1:118" s="121" customFormat="1" ht="15" hidden="1" customHeight="1" x14ac:dyDescent="0.3">
      <c r="A544" s="47">
        <v>506</v>
      </c>
      <c r="B544" s="47" t="s">
        <v>108</v>
      </c>
      <c r="C544" s="48">
        <v>0</v>
      </c>
      <c r="D544" s="48">
        <v>0</v>
      </c>
      <c r="E544" s="48">
        <v>-396</v>
      </c>
      <c r="F544" s="48">
        <v>0</v>
      </c>
      <c r="G544" s="145">
        <v>0</v>
      </c>
      <c r="H544" s="145">
        <v>0</v>
      </c>
      <c r="I544" s="145"/>
      <c r="J544" s="203"/>
      <c r="K544" s="141"/>
      <c r="L544" s="310"/>
      <c r="M544" s="141"/>
      <c r="N544" s="254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  <c r="AA544" s="141"/>
      <c r="AB544" s="141"/>
      <c r="AC544" s="141"/>
      <c r="AD544" s="141"/>
      <c r="AE544" s="141"/>
      <c r="AF544" s="141"/>
      <c r="AG544" s="141"/>
      <c r="AH544" s="141"/>
      <c r="AI544" s="141"/>
      <c r="AJ544" s="141"/>
      <c r="AK544" s="141"/>
      <c r="AL544" s="141"/>
      <c r="AM544" s="141"/>
      <c r="AN544" s="141"/>
      <c r="AO544" s="141"/>
      <c r="AP544" s="141"/>
      <c r="AQ544" s="141"/>
      <c r="AR544" s="141"/>
      <c r="AS544" s="141"/>
      <c r="AT544" s="141"/>
      <c r="AU544" s="141"/>
      <c r="AV544" s="141"/>
      <c r="AW544" s="141"/>
      <c r="AX544" s="141"/>
      <c r="AY544" s="141"/>
      <c r="AZ544" s="141"/>
      <c r="BA544" s="141"/>
      <c r="BB544" s="141"/>
      <c r="BC544" s="141"/>
      <c r="BD544" s="141"/>
      <c r="BE544" s="141"/>
      <c r="BF544" s="141"/>
      <c r="BG544" s="141"/>
      <c r="BH544" s="141"/>
      <c r="BI544" s="141"/>
      <c r="BJ544" s="141"/>
      <c r="BK544" s="141"/>
      <c r="BL544" s="141"/>
      <c r="BM544" s="141"/>
      <c r="BN544" s="141"/>
      <c r="BO544" s="141"/>
      <c r="BP544" s="141"/>
      <c r="BQ544" s="141"/>
      <c r="BR544" s="141"/>
      <c r="BS544" s="141"/>
      <c r="BT544" s="141"/>
      <c r="BU544" s="141"/>
      <c r="BV544" s="141"/>
      <c r="BW544" s="141"/>
      <c r="BX544" s="141"/>
      <c r="BY544" s="141"/>
      <c r="BZ544" s="141"/>
      <c r="CA544" s="141"/>
      <c r="CB544" s="141"/>
      <c r="CC544" s="141"/>
      <c r="CD544" s="141"/>
      <c r="CE544" s="141"/>
      <c r="CF544" s="141"/>
      <c r="CG544" s="141"/>
      <c r="CH544" s="141"/>
      <c r="CI544" s="141"/>
      <c r="CJ544" s="141"/>
      <c r="CK544" s="141"/>
      <c r="CL544" s="141"/>
      <c r="CM544" s="141"/>
      <c r="CN544" s="141"/>
      <c r="CO544" s="141"/>
      <c r="CP544" s="141"/>
      <c r="CQ544" s="141"/>
      <c r="CR544" s="141"/>
      <c r="CS544" s="141"/>
      <c r="CT544" s="141"/>
      <c r="CU544" s="141"/>
      <c r="CV544" s="141"/>
      <c r="CW544" s="141"/>
      <c r="CX544" s="141"/>
      <c r="CY544" s="141"/>
      <c r="CZ544" s="141"/>
      <c r="DA544" s="141"/>
      <c r="DB544" s="141"/>
      <c r="DC544" s="141"/>
      <c r="DD544" s="141"/>
      <c r="DE544" s="141"/>
      <c r="DF544" s="141"/>
      <c r="DG544" s="141"/>
      <c r="DH544" s="141"/>
      <c r="DI544" s="141"/>
      <c r="DJ544" s="141"/>
      <c r="DK544" s="141"/>
      <c r="DL544" s="141"/>
      <c r="DM544" s="141"/>
      <c r="DN544" s="141"/>
    </row>
    <row r="545" spans="1:118" s="144" customFormat="1" hidden="1" x14ac:dyDescent="0.3">
      <c r="A545" s="10">
        <v>5500</v>
      </c>
      <c r="B545" s="10" t="s">
        <v>109</v>
      </c>
      <c r="C545" s="99">
        <v>0</v>
      </c>
      <c r="D545" s="10">
        <v>-1333</v>
      </c>
      <c r="E545" s="48">
        <v>0</v>
      </c>
      <c r="F545" s="31">
        <v>-514</v>
      </c>
      <c r="G545" s="145">
        <v>0</v>
      </c>
      <c r="H545" s="145">
        <v>0</v>
      </c>
      <c r="I545" s="145"/>
      <c r="J545" s="203"/>
      <c r="K545" s="141"/>
      <c r="L545" s="310"/>
      <c r="M545" s="141"/>
      <c r="N545" s="254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  <c r="AA545" s="141"/>
      <c r="AB545" s="141"/>
      <c r="AC545" s="141"/>
      <c r="AD545" s="141"/>
      <c r="AE545" s="141"/>
      <c r="AF545" s="141"/>
      <c r="AG545" s="141"/>
      <c r="AH545" s="141"/>
      <c r="AI545" s="141"/>
      <c r="AJ545" s="141"/>
      <c r="AK545" s="141"/>
      <c r="AL545" s="141"/>
      <c r="AM545" s="141"/>
      <c r="AN545" s="141"/>
      <c r="AO545" s="141"/>
      <c r="AP545" s="141"/>
      <c r="AQ545" s="141"/>
      <c r="AR545" s="141"/>
      <c r="AS545" s="141"/>
      <c r="AT545" s="141"/>
      <c r="AU545" s="141"/>
      <c r="AV545" s="141"/>
      <c r="AW545" s="141"/>
      <c r="AX545" s="141"/>
      <c r="AY545" s="141"/>
      <c r="AZ545" s="141"/>
      <c r="BA545" s="141"/>
      <c r="BB545" s="141"/>
      <c r="BC545" s="141"/>
      <c r="BD545" s="141"/>
      <c r="BE545" s="141"/>
      <c r="BF545" s="141"/>
      <c r="BG545" s="141"/>
      <c r="BH545" s="141"/>
      <c r="BI545" s="141"/>
      <c r="BJ545" s="141"/>
      <c r="BK545" s="141"/>
      <c r="BL545" s="141"/>
      <c r="BM545" s="141"/>
      <c r="BN545" s="141"/>
      <c r="BO545" s="141"/>
      <c r="BP545" s="141"/>
      <c r="BQ545" s="141"/>
      <c r="BR545" s="141"/>
      <c r="BS545" s="141"/>
      <c r="BT545" s="141"/>
      <c r="BU545" s="141"/>
      <c r="BV545" s="141"/>
      <c r="BW545" s="141"/>
      <c r="BX545" s="141"/>
      <c r="BY545" s="141"/>
      <c r="BZ545" s="141"/>
      <c r="CA545" s="141"/>
      <c r="CB545" s="141"/>
      <c r="CC545" s="141"/>
      <c r="CD545" s="141"/>
      <c r="CE545" s="141"/>
      <c r="CF545" s="141"/>
      <c r="CG545" s="141"/>
      <c r="CH545" s="141"/>
      <c r="CI545" s="141"/>
      <c r="CJ545" s="141"/>
      <c r="CK545" s="141"/>
      <c r="CL545" s="141"/>
      <c r="CM545" s="141"/>
      <c r="CN545" s="141"/>
      <c r="CO545" s="141"/>
      <c r="CP545" s="141"/>
      <c r="CQ545" s="141"/>
      <c r="CR545" s="141"/>
      <c r="CS545" s="141"/>
      <c r="CT545" s="141"/>
      <c r="CU545" s="141"/>
      <c r="CV545" s="141"/>
      <c r="CW545" s="141"/>
      <c r="CX545" s="141"/>
      <c r="CY545" s="141"/>
      <c r="CZ545" s="141"/>
      <c r="DA545" s="141"/>
      <c r="DB545" s="141"/>
      <c r="DC545" s="141"/>
      <c r="DD545" s="141"/>
      <c r="DE545" s="141"/>
      <c r="DF545" s="141"/>
      <c r="DG545" s="141"/>
      <c r="DH545" s="141"/>
      <c r="DI545" s="141"/>
      <c r="DJ545" s="141"/>
      <c r="DK545" s="141"/>
      <c r="DL545" s="141"/>
      <c r="DM545" s="141"/>
      <c r="DN545" s="141"/>
    </row>
    <row r="546" spans="1:118" s="144" customFormat="1" hidden="1" x14ac:dyDescent="0.3">
      <c r="A546" s="10">
        <v>5513</v>
      </c>
      <c r="B546" s="10" t="s">
        <v>112</v>
      </c>
      <c r="C546" s="99">
        <v>0</v>
      </c>
      <c r="D546" s="10">
        <v>0</v>
      </c>
      <c r="E546" s="48">
        <v>-562</v>
      </c>
      <c r="F546" s="31">
        <v>0</v>
      </c>
      <c r="G546" s="146">
        <v>0</v>
      </c>
      <c r="H546" s="146">
        <v>0</v>
      </c>
      <c r="I546" s="146"/>
      <c r="J546" s="203"/>
      <c r="L546" s="305"/>
      <c r="N546" s="251"/>
    </row>
    <row r="547" spans="1:118" x14ac:dyDescent="0.3">
      <c r="A547" s="63"/>
      <c r="B547" s="14" t="s">
        <v>318</v>
      </c>
      <c r="C547" s="188"/>
      <c r="D547" s="188"/>
      <c r="E547" s="188"/>
      <c r="F547" s="189"/>
      <c r="G547" s="190"/>
      <c r="H547" s="187">
        <v>-10000</v>
      </c>
      <c r="I547" s="187"/>
      <c r="J547" s="204">
        <v>-10000</v>
      </c>
    </row>
    <row r="548" spans="1:118" x14ac:dyDescent="0.3">
      <c r="E548" s="117"/>
      <c r="F548" s="118"/>
    </row>
    <row r="549" spans="1:118" ht="15" x14ac:dyDescent="0.3">
      <c r="A549" s="64"/>
      <c r="B549" s="64" t="s">
        <v>319</v>
      </c>
      <c r="C549" s="65">
        <f t="shared" ref="C549:I549" si="147">C3+C53</f>
        <v>144973</v>
      </c>
      <c r="D549" s="65">
        <f t="shared" si="147"/>
        <v>156479</v>
      </c>
      <c r="E549" s="134">
        <f t="shared" si="147"/>
        <v>88057</v>
      </c>
      <c r="F549" s="65">
        <f t="shared" si="147"/>
        <v>328597</v>
      </c>
      <c r="G549" s="65">
        <f t="shared" si="147"/>
        <v>442872</v>
      </c>
      <c r="H549" s="65">
        <f t="shared" si="147"/>
        <v>13414</v>
      </c>
      <c r="I549" s="65">
        <f t="shared" si="147"/>
        <v>394941.04999999888</v>
      </c>
      <c r="J549" s="195">
        <f>J3+J53</f>
        <v>91320.959999999963</v>
      </c>
      <c r="K549" s="288"/>
      <c r="L549" s="298"/>
    </row>
    <row r="550" spans="1:118" ht="15" x14ac:dyDescent="0.3">
      <c r="A550" s="66"/>
      <c r="B550" s="66"/>
      <c r="C550" s="96"/>
      <c r="D550" s="96"/>
      <c r="E550" s="96"/>
      <c r="F550" s="67"/>
      <c r="G550" s="288">
        <v>442213</v>
      </c>
    </row>
    <row r="551" spans="1:118" x14ac:dyDescent="0.3">
      <c r="E551" s="117"/>
      <c r="F551" s="118"/>
      <c r="G551" s="295">
        <f>G549-442213</f>
        <v>659</v>
      </c>
    </row>
    <row r="552" spans="1:118" ht="75" x14ac:dyDescent="0.3">
      <c r="A552" s="68"/>
      <c r="B552" s="68" t="s">
        <v>320</v>
      </c>
      <c r="C552" s="69" t="s">
        <v>321</v>
      </c>
      <c r="D552" s="69" t="s">
        <v>322</v>
      </c>
      <c r="E552" s="69" t="s">
        <v>323</v>
      </c>
      <c r="F552" s="70" t="s">
        <v>97</v>
      </c>
      <c r="G552" s="183" t="s">
        <v>42</v>
      </c>
      <c r="H552" s="183" t="s">
        <v>324</v>
      </c>
      <c r="I552" s="183" t="s">
        <v>44</v>
      </c>
      <c r="J552" s="243" t="s">
        <v>45</v>
      </c>
    </row>
    <row r="553" spans="1:118" x14ac:dyDescent="0.3">
      <c r="A553" s="71"/>
      <c r="B553" s="71" t="s">
        <v>325</v>
      </c>
      <c r="C553" s="72">
        <f t="shared" ref="C553:H553" si="148">SUM(C554+C558+C586+C612+C613+C602+C615+C616)</f>
        <v>-106302</v>
      </c>
      <c r="D553" s="72">
        <f t="shared" si="148"/>
        <v>-275880</v>
      </c>
      <c r="E553" s="136">
        <f t="shared" si="148"/>
        <v>-132554</v>
      </c>
      <c r="F553" s="72">
        <f t="shared" si="148"/>
        <v>-684962</v>
      </c>
      <c r="G553" s="72">
        <f t="shared" si="148"/>
        <v>-188350</v>
      </c>
      <c r="H553" s="72">
        <f t="shared" si="148"/>
        <v>-369860</v>
      </c>
      <c r="I553" s="72">
        <f>SUM(I554+I558+I586+I612+I613+I602+I615+I616)</f>
        <v>-120034.47</v>
      </c>
      <c r="J553" s="369">
        <f>SUM(J554+J558+J586+J612+J613+J602+J615+J616)</f>
        <v>-1530350</v>
      </c>
    </row>
    <row r="554" spans="1:118" x14ac:dyDescent="0.3">
      <c r="A554" s="73">
        <v>381</v>
      </c>
      <c r="B554" s="73" t="s">
        <v>326</v>
      </c>
      <c r="C554" s="24">
        <f t="shared" ref="C554:D554" si="149">SUM(C555:C557)</f>
        <v>7778</v>
      </c>
      <c r="D554" s="24">
        <f t="shared" si="149"/>
        <v>14020</v>
      </c>
      <c r="E554" s="131">
        <f>SUM(E555:E557)</f>
        <v>7150</v>
      </c>
      <c r="F554" s="24">
        <f t="shared" ref="F554" si="150">SUM(F555:F557)</f>
        <v>2500</v>
      </c>
      <c r="G554" s="24">
        <f t="shared" ref="G554" si="151">SUM(G555:G557)</f>
        <v>350</v>
      </c>
      <c r="H554" s="24">
        <f t="shared" ref="H554" si="152">SUM(H555:H557)</f>
        <v>40000</v>
      </c>
      <c r="I554" s="24">
        <f>SUM(I555:I557)</f>
        <v>22251</v>
      </c>
      <c r="J554" s="195">
        <v>200000</v>
      </c>
    </row>
    <row r="555" spans="1:118" x14ac:dyDescent="0.3">
      <c r="A555" s="10">
        <v>38110</v>
      </c>
      <c r="B555" s="10" t="s">
        <v>327</v>
      </c>
      <c r="C555" s="99">
        <v>7778</v>
      </c>
      <c r="D555" s="99">
        <v>14020</v>
      </c>
      <c r="E555" s="48">
        <v>7150</v>
      </c>
      <c r="F555" s="31">
        <v>0</v>
      </c>
      <c r="G555" s="31">
        <v>0</v>
      </c>
      <c r="H555" s="31">
        <v>15000</v>
      </c>
      <c r="I555" s="31">
        <v>22251</v>
      </c>
      <c r="J555" s="202">
        <v>0</v>
      </c>
    </row>
    <row r="556" spans="1:118" x14ac:dyDescent="0.3">
      <c r="A556" s="10">
        <v>38111</v>
      </c>
      <c r="B556" s="10" t="s">
        <v>328</v>
      </c>
      <c r="C556" s="99"/>
      <c r="D556" s="99">
        <v>0</v>
      </c>
      <c r="E556" s="48"/>
      <c r="F556" s="31">
        <v>2000</v>
      </c>
      <c r="G556" s="31">
        <v>350</v>
      </c>
      <c r="H556" s="31">
        <v>25000</v>
      </c>
      <c r="I556" s="31"/>
      <c r="J556" s="202">
        <v>0</v>
      </c>
    </row>
    <row r="557" spans="1:118" hidden="1" x14ac:dyDescent="0.3">
      <c r="A557" s="10">
        <v>38114</v>
      </c>
      <c r="B557" s="10" t="s">
        <v>329</v>
      </c>
      <c r="C557" s="99"/>
      <c r="D557" s="99">
        <v>0</v>
      </c>
      <c r="E557" s="48"/>
      <c r="F557" s="31">
        <v>500</v>
      </c>
      <c r="G557" s="31">
        <v>0</v>
      </c>
      <c r="H557" s="31">
        <v>0</v>
      </c>
      <c r="I557" s="31"/>
      <c r="J557" s="202"/>
    </row>
    <row r="558" spans="1:118" x14ac:dyDescent="0.3">
      <c r="A558" s="73">
        <v>15</v>
      </c>
      <c r="B558" s="73" t="s">
        <v>330</v>
      </c>
      <c r="C558" s="24">
        <v>-90019</v>
      </c>
      <c r="D558" s="24">
        <f>SUM(D574:D585)</f>
        <v>-661544</v>
      </c>
      <c r="E558" s="131">
        <v>-105791</v>
      </c>
      <c r="F558" s="24">
        <f>SUM(F573:F585)</f>
        <v>-904352</v>
      </c>
      <c r="G558" s="24">
        <f>SUM(G566:G585)</f>
        <v>-533969</v>
      </c>
      <c r="H558" s="24">
        <f>SUM(H559:H585)</f>
        <v>-501000</v>
      </c>
      <c r="I558" s="24">
        <f>SUM(I559:I585)</f>
        <v>-113734.6</v>
      </c>
      <c r="J558" s="195">
        <f>SUM(J559:J585)</f>
        <v>-2854857</v>
      </c>
      <c r="L558" s="297"/>
      <c r="Q558" s="118"/>
    </row>
    <row r="559" spans="1:118" s="123" customFormat="1" ht="15" customHeight="1" x14ac:dyDescent="0.3">
      <c r="A559" s="169">
        <v>660502</v>
      </c>
      <c r="B559" s="10" t="s">
        <v>187</v>
      </c>
      <c r="C559" s="31"/>
      <c r="D559" s="31"/>
      <c r="E559" s="48"/>
      <c r="F559" s="31"/>
      <c r="G559" s="31"/>
      <c r="H559" s="31">
        <v>-15000</v>
      </c>
      <c r="I559" s="31"/>
      <c r="J559" s="203"/>
      <c r="L559" s="121"/>
      <c r="N559" s="242"/>
    </row>
    <row r="560" spans="1:118" s="123" customFormat="1" ht="15" customHeight="1" x14ac:dyDescent="0.3">
      <c r="A560" s="76" t="s">
        <v>157</v>
      </c>
      <c r="B560" s="10" t="s">
        <v>331</v>
      </c>
      <c r="C560" s="31"/>
      <c r="D560" s="31"/>
      <c r="E560" s="48"/>
      <c r="F560" s="31"/>
      <c r="G560" s="31"/>
      <c r="H560" s="31">
        <v>-10000</v>
      </c>
      <c r="I560" s="31">
        <v>-18200</v>
      </c>
      <c r="J560" s="203">
        <v>-89000</v>
      </c>
      <c r="L560" s="121"/>
      <c r="N560" s="242"/>
    </row>
    <row r="561" spans="1:14" s="123" customFormat="1" ht="15" customHeight="1" x14ac:dyDescent="0.3">
      <c r="A561" s="359" t="s">
        <v>157</v>
      </c>
      <c r="B561" s="47" t="s">
        <v>332</v>
      </c>
      <c r="C561" s="48"/>
      <c r="D561" s="48"/>
      <c r="E561" s="48"/>
      <c r="F561" s="48"/>
      <c r="G561" s="48"/>
      <c r="H561" s="48">
        <v>-20000</v>
      </c>
      <c r="I561" s="48"/>
      <c r="J561" s="283">
        <v>-20000</v>
      </c>
      <c r="K561" s="309"/>
      <c r="L561" s="309"/>
      <c r="N561" s="242"/>
    </row>
    <row r="562" spans="1:14" s="123" customFormat="1" ht="15" customHeight="1" x14ac:dyDescent="0.3">
      <c r="A562" s="359" t="s">
        <v>174</v>
      </c>
      <c r="B562" s="47" t="s">
        <v>333</v>
      </c>
      <c r="C562" s="48"/>
      <c r="D562" s="48"/>
      <c r="E562" s="48"/>
      <c r="F562" s="48"/>
      <c r="G562" s="48"/>
      <c r="H562" s="48"/>
      <c r="I562" s="48"/>
      <c r="J562" s="283">
        <v>-30000</v>
      </c>
      <c r="K562" s="121"/>
      <c r="L562" s="121"/>
      <c r="N562" s="242"/>
    </row>
    <row r="563" spans="1:14" s="123" customFormat="1" ht="15" customHeight="1" x14ac:dyDescent="0.3">
      <c r="A563" s="359" t="s">
        <v>414</v>
      </c>
      <c r="B563" s="47" t="s">
        <v>418</v>
      </c>
      <c r="C563" s="48"/>
      <c r="D563" s="48"/>
      <c r="E563" s="48"/>
      <c r="F563" s="48"/>
      <c r="G563" s="48"/>
      <c r="H563" s="48"/>
      <c r="I563" s="48"/>
      <c r="J563" s="283">
        <v>-10000</v>
      </c>
      <c r="K563" s="121"/>
      <c r="L563" s="121"/>
      <c r="N563" s="242"/>
    </row>
    <row r="564" spans="1:14" s="123" customFormat="1" ht="15" customHeight="1" x14ac:dyDescent="0.3">
      <c r="A564" s="359" t="s">
        <v>196</v>
      </c>
      <c r="B564" s="47" t="s">
        <v>334</v>
      </c>
      <c r="C564" s="48"/>
      <c r="D564" s="48"/>
      <c r="E564" s="48"/>
      <c r="F564" s="48"/>
      <c r="G564" s="48"/>
      <c r="H564" s="48">
        <v>-15000</v>
      </c>
      <c r="I564" s="48">
        <v>-15457.2</v>
      </c>
      <c r="J564" s="203">
        <v>-15000</v>
      </c>
      <c r="K564" s="265"/>
      <c r="L564" s="121"/>
      <c r="N564" s="242"/>
    </row>
    <row r="565" spans="1:14" s="123" customFormat="1" ht="15" customHeight="1" x14ac:dyDescent="0.3">
      <c r="A565" s="76" t="s">
        <v>416</v>
      </c>
      <c r="B565" s="10" t="s">
        <v>335</v>
      </c>
      <c r="C565" s="31"/>
      <c r="D565" s="31"/>
      <c r="E565" s="48"/>
      <c r="F565" s="31"/>
      <c r="G565" s="31"/>
      <c r="H565" s="31"/>
      <c r="I565" s="31"/>
      <c r="J565" s="203">
        <v>-250000</v>
      </c>
      <c r="L565" s="121"/>
      <c r="N565" s="242"/>
    </row>
    <row r="566" spans="1:14" s="144" customFormat="1" x14ac:dyDescent="0.3">
      <c r="A566" s="169">
        <v>921201</v>
      </c>
      <c r="B566" s="10" t="s">
        <v>336</v>
      </c>
      <c r="C566" s="99"/>
      <c r="D566" s="99">
        <v>0</v>
      </c>
      <c r="E566" s="99">
        <v>0</v>
      </c>
      <c r="F566" s="31">
        <v>0</v>
      </c>
      <c r="G566" s="145">
        <v>-174818</v>
      </c>
      <c r="H566" s="264">
        <v>-200000</v>
      </c>
      <c r="I566" s="145">
        <v>-9000</v>
      </c>
      <c r="J566" s="203">
        <v>-1075511</v>
      </c>
      <c r="K566" s="270"/>
      <c r="L566" s="305"/>
      <c r="N566" s="251"/>
    </row>
    <row r="567" spans="1:14" s="144" customFormat="1" x14ac:dyDescent="0.3">
      <c r="A567" s="355">
        <v>660501</v>
      </c>
      <c r="B567" s="47" t="s">
        <v>337</v>
      </c>
      <c r="C567" s="100"/>
      <c r="D567" s="100">
        <v>0</v>
      </c>
      <c r="E567" s="100">
        <v>0</v>
      </c>
      <c r="F567" s="48">
        <v>0</v>
      </c>
      <c r="G567" s="151">
        <v>-16573</v>
      </c>
      <c r="H567" s="356">
        <f>-10000+10000</f>
        <v>0</v>
      </c>
      <c r="I567" s="151"/>
      <c r="J567" s="357">
        <f>-70000</f>
        <v>-70000</v>
      </c>
      <c r="K567" s="271"/>
      <c r="L567" s="305"/>
      <c r="N567" s="251"/>
    </row>
    <row r="568" spans="1:14" s="144" customFormat="1" ht="15.75" customHeight="1" x14ac:dyDescent="0.3">
      <c r="A568" s="76" t="s">
        <v>182</v>
      </c>
      <c r="B568" s="10" t="s">
        <v>338</v>
      </c>
      <c r="C568" s="99"/>
      <c r="D568" s="99">
        <v>0</v>
      </c>
      <c r="E568" s="99">
        <v>0</v>
      </c>
      <c r="F568" s="31">
        <v>0</v>
      </c>
      <c r="G568" s="145">
        <v>-161479</v>
      </c>
      <c r="H568" s="269">
        <f>-30000+20000</f>
        <v>-10000</v>
      </c>
      <c r="I568" s="145">
        <v>-2998.8</v>
      </c>
      <c r="J568" s="203">
        <v>-100000</v>
      </c>
      <c r="K568" s="271"/>
      <c r="L568" s="305"/>
      <c r="N568" s="251"/>
    </row>
    <row r="569" spans="1:14" s="144" customFormat="1" x14ac:dyDescent="0.3">
      <c r="A569" s="76" t="s">
        <v>417</v>
      </c>
      <c r="B569" s="10" t="s">
        <v>339</v>
      </c>
      <c r="C569" s="99"/>
      <c r="D569" s="99"/>
      <c r="E569" s="99"/>
      <c r="F569" s="31"/>
      <c r="G569" s="145"/>
      <c r="H569" s="269"/>
      <c r="I569" s="145"/>
      <c r="J569" s="203">
        <v>-20000</v>
      </c>
      <c r="K569" s="271"/>
      <c r="L569" s="305"/>
      <c r="N569" s="251"/>
    </row>
    <row r="570" spans="1:14" s="144" customFormat="1" hidden="1" x14ac:dyDescent="0.3">
      <c r="A570" s="76" t="s">
        <v>340</v>
      </c>
      <c r="B570" s="10" t="s">
        <v>341</v>
      </c>
      <c r="C570" s="99"/>
      <c r="D570" s="99">
        <v>0</v>
      </c>
      <c r="E570" s="99">
        <v>0</v>
      </c>
      <c r="F570" s="31">
        <v>0</v>
      </c>
      <c r="G570" s="145">
        <v>-137222</v>
      </c>
      <c r="H570" s="269">
        <v>0</v>
      </c>
      <c r="I570" s="145"/>
      <c r="J570" s="203"/>
      <c r="K570" s="271"/>
      <c r="L570" s="305"/>
      <c r="N570" s="251"/>
    </row>
    <row r="571" spans="1:14" s="144" customFormat="1" ht="16" hidden="1" customHeight="1" x14ac:dyDescent="0.3">
      <c r="A571" s="76" t="s">
        <v>340</v>
      </c>
      <c r="B571" s="10" t="s">
        <v>342</v>
      </c>
      <c r="C571" s="99"/>
      <c r="D571" s="99"/>
      <c r="E571" s="99"/>
      <c r="F571" s="31"/>
      <c r="G571" s="145"/>
      <c r="H571" s="269"/>
      <c r="I571" s="145"/>
      <c r="J571" s="203"/>
      <c r="K571" s="271"/>
      <c r="L571" s="305"/>
      <c r="N571" s="251"/>
    </row>
    <row r="572" spans="1:14" s="144" customFormat="1" x14ac:dyDescent="0.3">
      <c r="A572" s="76" t="s">
        <v>255</v>
      </c>
      <c r="B572" s="10" t="s">
        <v>343</v>
      </c>
      <c r="C572" s="99"/>
      <c r="D572" s="99">
        <v>0</v>
      </c>
      <c r="E572" s="99">
        <v>0</v>
      </c>
      <c r="F572" s="31">
        <v>0</v>
      </c>
      <c r="G572" s="145">
        <v>-5190</v>
      </c>
      <c r="H572" s="269">
        <f>-350000+350000</f>
        <v>0</v>
      </c>
      <c r="I572" s="145">
        <v>-17730</v>
      </c>
      <c r="J572" s="203">
        <v>-738346</v>
      </c>
      <c r="K572" s="271"/>
      <c r="L572" s="305"/>
      <c r="N572" s="251"/>
    </row>
    <row r="573" spans="1:14" s="144" customFormat="1" hidden="1" x14ac:dyDescent="0.3">
      <c r="A573" s="74" t="s">
        <v>159</v>
      </c>
      <c r="B573" s="10" t="s">
        <v>344</v>
      </c>
      <c r="C573" s="99"/>
      <c r="D573" s="99">
        <v>0</v>
      </c>
      <c r="E573" s="99">
        <v>0</v>
      </c>
      <c r="F573" s="31">
        <v>-103521</v>
      </c>
      <c r="G573" s="145">
        <v>0</v>
      </c>
      <c r="H573" s="269">
        <v>0</v>
      </c>
      <c r="I573" s="145"/>
      <c r="J573" s="203"/>
      <c r="K573" s="271"/>
      <c r="L573" s="305"/>
      <c r="N573" s="251"/>
    </row>
    <row r="574" spans="1:14" s="144" customFormat="1" hidden="1" x14ac:dyDescent="0.3">
      <c r="A574" s="74" t="s">
        <v>157</v>
      </c>
      <c r="B574" s="10" t="s">
        <v>345</v>
      </c>
      <c r="C574" s="99"/>
      <c r="D574" s="99">
        <v>-622069</v>
      </c>
      <c r="E574" s="99">
        <v>0</v>
      </c>
      <c r="F574" s="31">
        <v>-657876</v>
      </c>
      <c r="G574" s="145">
        <v>0</v>
      </c>
      <c r="H574" s="269">
        <v>0</v>
      </c>
      <c r="I574" s="145"/>
      <c r="J574" s="203"/>
      <c r="K574" s="271"/>
      <c r="L574" s="305"/>
      <c r="N574" s="251"/>
    </row>
    <row r="575" spans="1:14" s="144" customFormat="1" hidden="1" x14ac:dyDescent="0.3">
      <c r="A575" s="74" t="s">
        <v>346</v>
      </c>
      <c r="B575" s="10" t="s">
        <v>347</v>
      </c>
      <c r="C575" s="99"/>
      <c r="D575" s="99">
        <v>-5019</v>
      </c>
      <c r="E575" s="99">
        <v>0</v>
      </c>
      <c r="F575" s="31">
        <v>-2239</v>
      </c>
      <c r="G575" s="145">
        <v>0</v>
      </c>
      <c r="H575" s="269">
        <v>0</v>
      </c>
      <c r="I575" s="145"/>
      <c r="J575" s="203"/>
      <c r="K575" s="271"/>
      <c r="L575" s="305"/>
      <c r="N575" s="251"/>
    </row>
    <row r="576" spans="1:14" s="144" customFormat="1" hidden="1" x14ac:dyDescent="0.3">
      <c r="A576" s="74" t="s">
        <v>346</v>
      </c>
      <c r="B576" s="10" t="s">
        <v>348</v>
      </c>
      <c r="C576" s="99"/>
      <c r="D576" s="99">
        <v>-3800</v>
      </c>
      <c r="E576" s="99">
        <v>0</v>
      </c>
      <c r="F576" s="31"/>
      <c r="G576" s="145">
        <v>0</v>
      </c>
      <c r="H576" s="269">
        <v>0</v>
      </c>
      <c r="I576" s="145"/>
      <c r="J576" s="203"/>
      <c r="K576" s="271"/>
      <c r="L576" s="305"/>
      <c r="N576" s="251"/>
    </row>
    <row r="577" spans="1:14" s="144" customFormat="1" hidden="1" x14ac:dyDescent="0.3">
      <c r="A577" s="74" t="s">
        <v>349</v>
      </c>
      <c r="B577" s="10" t="s">
        <v>350</v>
      </c>
      <c r="C577" s="99"/>
      <c r="D577" s="99">
        <v>0</v>
      </c>
      <c r="E577" s="99">
        <v>0</v>
      </c>
      <c r="F577" s="31">
        <v>-4924</v>
      </c>
      <c r="G577" s="145">
        <v>0</v>
      </c>
      <c r="H577" s="269">
        <v>0</v>
      </c>
      <c r="I577" s="145"/>
      <c r="J577" s="203"/>
      <c r="K577" s="271"/>
      <c r="L577" s="305"/>
      <c r="N577" s="251"/>
    </row>
    <row r="578" spans="1:14" s="144" customFormat="1" x14ac:dyDescent="0.3">
      <c r="A578" s="74" t="s">
        <v>416</v>
      </c>
      <c r="B578" s="10" t="s">
        <v>351</v>
      </c>
      <c r="C578" s="99"/>
      <c r="D578" s="99"/>
      <c r="E578" s="99"/>
      <c r="F578" s="31"/>
      <c r="G578" s="145"/>
      <c r="H578" s="269">
        <f>-200000+200000</f>
        <v>0</v>
      </c>
      <c r="I578" s="145"/>
      <c r="J578" s="203">
        <v>-170000</v>
      </c>
      <c r="K578" s="271"/>
      <c r="L578" s="305"/>
      <c r="N578" s="251"/>
    </row>
    <row r="579" spans="1:14" s="144" customFormat="1" x14ac:dyDescent="0.3">
      <c r="A579" s="368" t="s">
        <v>192</v>
      </c>
      <c r="B579" s="47" t="s">
        <v>352</v>
      </c>
      <c r="C579" s="100"/>
      <c r="D579" s="100">
        <v>0</v>
      </c>
      <c r="E579" s="100">
        <v>0</v>
      </c>
      <c r="F579" s="48">
        <v>-4924</v>
      </c>
      <c r="G579" s="48">
        <v>0</v>
      </c>
      <c r="H579" s="48">
        <v>-180000</v>
      </c>
      <c r="I579" s="48">
        <v>-1580</v>
      </c>
      <c r="J579" s="283">
        <v>-230000</v>
      </c>
      <c r="K579" s="366"/>
      <c r="L579" s="311"/>
      <c r="M579" s="259"/>
      <c r="N579" s="251"/>
    </row>
    <row r="580" spans="1:14" s="144" customFormat="1" x14ac:dyDescent="0.3">
      <c r="A580" s="368" t="s">
        <v>346</v>
      </c>
      <c r="B580" s="47" t="s">
        <v>415</v>
      </c>
      <c r="C580" s="100"/>
      <c r="D580" s="100"/>
      <c r="E580" s="100"/>
      <c r="F580" s="48"/>
      <c r="G580" s="48"/>
      <c r="H580" s="48"/>
      <c r="I580" s="48"/>
      <c r="J580" s="283">
        <v>-27000</v>
      </c>
      <c r="K580" s="366"/>
      <c r="L580" s="311"/>
      <c r="M580" s="259"/>
      <c r="N580" s="251"/>
    </row>
    <row r="581" spans="1:14" s="144" customFormat="1" x14ac:dyDescent="0.3">
      <c r="A581" s="74" t="s">
        <v>353</v>
      </c>
      <c r="B581" s="10" t="s">
        <v>354</v>
      </c>
      <c r="C581" s="99"/>
      <c r="D581" s="99"/>
      <c r="E581" s="99">
        <v>0</v>
      </c>
      <c r="F581" s="48">
        <v>0</v>
      </c>
      <c r="G581" s="145">
        <v>-21483</v>
      </c>
      <c r="H581" s="269">
        <v>-21000</v>
      </c>
      <c r="I581" s="145"/>
      <c r="J581" s="203"/>
      <c r="K581" s="367"/>
      <c r="L581" s="305"/>
      <c r="N581" s="251"/>
    </row>
    <row r="582" spans="1:14" s="144" customFormat="1" ht="16.5" customHeight="1" x14ac:dyDescent="0.3">
      <c r="A582" s="74" t="s">
        <v>353</v>
      </c>
      <c r="B582" s="10" t="s">
        <v>355</v>
      </c>
      <c r="C582" s="99"/>
      <c r="D582" s="99"/>
      <c r="E582" s="99"/>
      <c r="F582" s="48"/>
      <c r="G582" s="145"/>
      <c r="H582" s="269">
        <v>-30000</v>
      </c>
      <c r="I582" s="145">
        <v>-48768.6</v>
      </c>
      <c r="J582" s="203"/>
      <c r="K582" s="271"/>
      <c r="L582" s="305"/>
      <c r="N582" s="251"/>
    </row>
    <row r="583" spans="1:14" s="144" customFormat="1" x14ac:dyDescent="0.3">
      <c r="A583" s="74" t="s">
        <v>356</v>
      </c>
      <c r="B583" s="10" t="s">
        <v>357</v>
      </c>
      <c r="C583" s="99"/>
      <c r="D583" s="99">
        <v>0</v>
      </c>
      <c r="E583" s="99">
        <v>0</v>
      </c>
      <c r="F583" s="31">
        <v>-59220</v>
      </c>
      <c r="G583" s="145">
        <v>-17204</v>
      </c>
      <c r="H583" s="269">
        <f>-50000+50000</f>
        <v>0</v>
      </c>
      <c r="I583" s="145"/>
      <c r="J583" s="203">
        <v>-10000</v>
      </c>
      <c r="K583" s="271"/>
      <c r="L583" s="305"/>
      <c r="N583" s="251"/>
    </row>
    <row r="584" spans="1:14" s="144" customFormat="1" hidden="1" x14ac:dyDescent="0.3">
      <c r="A584" s="74" t="s">
        <v>358</v>
      </c>
      <c r="B584" s="10" t="s">
        <v>359</v>
      </c>
      <c r="C584" s="99"/>
      <c r="D584" s="99">
        <v>-17441</v>
      </c>
      <c r="E584" s="99">
        <v>0</v>
      </c>
      <c r="F584" s="31"/>
      <c r="G584" s="145">
        <v>0</v>
      </c>
      <c r="H584" s="267">
        <v>0</v>
      </c>
      <c r="I584" s="145"/>
      <c r="J584" s="203"/>
      <c r="K584" s="271"/>
      <c r="L584" s="305"/>
      <c r="N584" s="251"/>
    </row>
    <row r="585" spans="1:14" s="144" customFormat="1" hidden="1" x14ac:dyDescent="0.3">
      <c r="A585" s="74" t="s">
        <v>360</v>
      </c>
      <c r="B585" s="10" t="s">
        <v>361</v>
      </c>
      <c r="C585" s="99"/>
      <c r="D585" s="99">
        <v>-13215</v>
      </c>
      <c r="E585" s="99">
        <v>0</v>
      </c>
      <c r="F585" s="31">
        <v>-71648</v>
      </c>
      <c r="G585" s="145">
        <v>0</v>
      </c>
      <c r="H585" s="267">
        <v>0</v>
      </c>
      <c r="I585" s="145"/>
      <c r="J585" s="203"/>
      <c r="K585" s="271"/>
      <c r="L585" s="305"/>
      <c r="N585" s="251"/>
    </row>
    <row r="586" spans="1:14" x14ac:dyDescent="0.3">
      <c r="A586" s="75" t="s">
        <v>362</v>
      </c>
      <c r="B586" s="73" t="s">
        <v>363</v>
      </c>
      <c r="C586" s="24">
        <v>29188</v>
      </c>
      <c r="D586" s="24">
        <f>SUM(D587:D600)</f>
        <v>473203</v>
      </c>
      <c r="E586" s="131">
        <v>26489</v>
      </c>
      <c r="F586" s="24">
        <f>SUM(F587:F600)</f>
        <v>485095</v>
      </c>
      <c r="G586" s="24">
        <f>SUM(G587:G601)</f>
        <v>673534</v>
      </c>
      <c r="H586" s="268">
        <f>SUM(H587:H601)</f>
        <v>287090</v>
      </c>
      <c r="I586" s="24">
        <f>SUM(I587:I601)</f>
        <v>149385</v>
      </c>
      <c r="J586" s="196">
        <f>SUM(J587:J601)</f>
        <v>1346457</v>
      </c>
      <c r="K586" s="272"/>
      <c r="L586" s="297"/>
    </row>
    <row r="587" spans="1:14" hidden="1" x14ac:dyDescent="0.3">
      <c r="A587" s="76" t="s">
        <v>157</v>
      </c>
      <c r="B587" s="10" t="s">
        <v>364</v>
      </c>
      <c r="C587" s="99">
        <v>0</v>
      </c>
      <c r="D587" s="99">
        <v>452184</v>
      </c>
      <c r="E587" s="48">
        <v>0</v>
      </c>
      <c r="F587" s="31">
        <v>472212</v>
      </c>
      <c r="G587" s="145">
        <v>18677</v>
      </c>
      <c r="H587" s="267"/>
      <c r="I587" s="145"/>
      <c r="J587" s="202"/>
      <c r="K587" s="273"/>
      <c r="M587" s="118"/>
    </row>
    <row r="588" spans="1:14" x14ac:dyDescent="0.3">
      <c r="A588" s="76" t="s">
        <v>157</v>
      </c>
      <c r="B588" s="10" t="s">
        <v>331</v>
      </c>
      <c r="C588" s="99"/>
      <c r="D588" s="99"/>
      <c r="E588" s="48"/>
      <c r="F588" s="31"/>
      <c r="G588" s="145">
        <v>100000</v>
      </c>
      <c r="H588" s="266"/>
      <c r="I588" s="145"/>
      <c r="J588" s="202">
        <v>84000</v>
      </c>
      <c r="K588" s="273"/>
    </row>
    <row r="589" spans="1:14" ht="20.25" hidden="1" customHeight="1" x14ac:dyDescent="0.3">
      <c r="A589" s="276" t="s">
        <v>151</v>
      </c>
      <c r="B589" s="277" t="s">
        <v>332</v>
      </c>
      <c r="C589" s="278"/>
      <c r="D589" s="278"/>
      <c r="E589" s="279"/>
      <c r="F589" s="275"/>
      <c r="G589" s="275"/>
      <c r="H589" s="274"/>
      <c r="I589" s="145"/>
      <c r="J589" s="202"/>
      <c r="K589" s="273"/>
    </row>
    <row r="590" spans="1:14" x14ac:dyDescent="0.3">
      <c r="A590" s="76" t="s">
        <v>196</v>
      </c>
      <c r="B590" s="10" t="s">
        <v>334</v>
      </c>
      <c r="C590" s="99"/>
      <c r="D590" s="99"/>
      <c r="E590" s="48"/>
      <c r="F590" s="31"/>
      <c r="G590" s="145"/>
      <c r="H590" s="280">
        <f>35000-35000</f>
        <v>0</v>
      </c>
      <c r="I590" s="145"/>
      <c r="J590" s="202"/>
      <c r="K590" s="273"/>
    </row>
    <row r="591" spans="1:14" x14ac:dyDescent="0.3">
      <c r="A591" s="76" t="s">
        <v>340</v>
      </c>
      <c r="B591" s="10" t="s">
        <v>242</v>
      </c>
      <c r="C591" s="99"/>
      <c r="D591" s="99"/>
      <c r="E591" s="48"/>
      <c r="F591" s="31"/>
      <c r="G591" s="145"/>
      <c r="H591" s="280">
        <f>40000-40000</f>
        <v>0</v>
      </c>
      <c r="I591" s="145"/>
      <c r="J591" s="202"/>
      <c r="K591" s="273"/>
    </row>
    <row r="592" spans="1:14" hidden="1" x14ac:dyDescent="0.3">
      <c r="A592" s="76" t="s">
        <v>266</v>
      </c>
      <c r="B592" s="10" t="s">
        <v>365</v>
      </c>
      <c r="C592" s="99">
        <v>0</v>
      </c>
      <c r="D592" s="99">
        <v>11000</v>
      </c>
      <c r="E592" s="48">
        <v>0</v>
      </c>
      <c r="F592" s="31">
        <v>5000</v>
      </c>
      <c r="G592" s="145">
        <v>0</v>
      </c>
      <c r="H592" s="280">
        <v>0</v>
      </c>
      <c r="I592" s="145"/>
      <c r="J592" s="202"/>
      <c r="K592" s="273"/>
    </row>
    <row r="593" spans="1:11" hidden="1" x14ac:dyDescent="0.3">
      <c r="A593" s="76" t="s">
        <v>147</v>
      </c>
      <c r="B593" s="10" t="s">
        <v>366</v>
      </c>
      <c r="C593" s="48">
        <v>0</v>
      </c>
      <c r="D593" s="99">
        <v>0</v>
      </c>
      <c r="E593" s="48">
        <v>0</v>
      </c>
      <c r="F593" s="31">
        <v>0</v>
      </c>
      <c r="G593" s="145">
        <v>0</v>
      </c>
      <c r="H593" s="280">
        <v>0</v>
      </c>
      <c r="I593" s="145"/>
      <c r="J593" s="202"/>
      <c r="K593" s="273"/>
    </row>
    <row r="594" spans="1:11" x14ac:dyDescent="0.3">
      <c r="A594" s="76"/>
      <c r="B594" s="10" t="s">
        <v>367</v>
      </c>
      <c r="C594" s="48">
        <v>0</v>
      </c>
      <c r="D594" s="99">
        <v>0</v>
      </c>
      <c r="E594" s="48">
        <v>0</v>
      </c>
      <c r="F594" s="31">
        <v>0</v>
      </c>
      <c r="G594" s="145">
        <v>254180</v>
      </c>
      <c r="H594" s="280">
        <v>127090</v>
      </c>
      <c r="I594" s="145">
        <v>127290</v>
      </c>
      <c r="J594" s="202"/>
      <c r="K594" s="273"/>
    </row>
    <row r="595" spans="1:11" x14ac:dyDescent="0.3">
      <c r="A595" s="76" t="s">
        <v>180</v>
      </c>
      <c r="B595" s="10" t="s">
        <v>368</v>
      </c>
      <c r="C595" s="48">
        <v>0</v>
      </c>
      <c r="D595" s="99">
        <v>10019</v>
      </c>
      <c r="E595" s="48">
        <v>0</v>
      </c>
      <c r="F595" s="31">
        <v>7883</v>
      </c>
      <c r="G595" s="145">
        <v>14970</v>
      </c>
      <c r="H595" s="280">
        <v>20000</v>
      </c>
      <c r="I595" s="145">
        <v>22095</v>
      </c>
      <c r="J595" s="358">
        <v>25000</v>
      </c>
      <c r="K595" s="273"/>
    </row>
    <row r="596" spans="1:11" x14ac:dyDescent="0.3">
      <c r="A596" s="76" t="s">
        <v>255</v>
      </c>
      <c r="B596" s="10" t="s">
        <v>369</v>
      </c>
      <c r="C596" s="48">
        <v>0</v>
      </c>
      <c r="D596" s="99">
        <v>0</v>
      </c>
      <c r="E596" s="48">
        <v>0</v>
      </c>
      <c r="F596" s="48">
        <v>0</v>
      </c>
      <c r="G596" s="145">
        <v>0</v>
      </c>
      <c r="H596" s="280">
        <f>200000-200000</f>
        <v>0</v>
      </c>
      <c r="I596" s="145"/>
      <c r="J596" s="202">
        <v>511098</v>
      </c>
      <c r="K596" s="273"/>
    </row>
    <row r="597" spans="1:11" x14ac:dyDescent="0.3">
      <c r="A597" s="76" t="s">
        <v>370</v>
      </c>
      <c r="B597" s="77" t="s">
        <v>371</v>
      </c>
      <c r="C597" s="48">
        <v>0</v>
      </c>
      <c r="D597" s="114">
        <v>0</v>
      </c>
      <c r="E597" s="48">
        <v>0</v>
      </c>
      <c r="F597" s="31">
        <v>0</v>
      </c>
      <c r="G597" s="145"/>
      <c r="H597" s="280">
        <v>140000</v>
      </c>
      <c r="I597" s="145"/>
      <c r="J597" s="202">
        <v>611359</v>
      </c>
      <c r="K597" s="273"/>
    </row>
    <row r="598" spans="1:11" x14ac:dyDescent="0.3">
      <c r="A598" s="359" t="s">
        <v>346</v>
      </c>
      <c r="B598" s="47" t="s">
        <v>337</v>
      </c>
      <c r="C598" s="48">
        <v>0</v>
      </c>
      <c r="D598" s="100">
        <v>0</v>
      </c>
      <c r="E598" s="48">
        <v>0</v>
      </c>
      <c r="F598" s="48">
        <v>0</v>
      </c>
      <c r="G598" s="151">
        <v>0</v>
      </c>
      <c r="H598" s="48">
        <f>40000-40000</f>
        <v>0</v>
      </c>
      <c r="I598" s="151"/>
      <c r="J598" s="360">
        <v>35000</v>
      </c>
      <c r="K598" s="273"/>
    </row>
    <row r="599" spans="1:11" x14ac:dyDescent="0.3">
      <c r="A599" s="76" t="s">
        <v>182</v>
      </c>
      <c r="B599" s="77" t="s">
        <v>338</v>
      </c>
      <c r="C599" s="48">
        <v>0</v>
      </c>
      <c r="D599" s="114">
        <v>0</v>
      </c>
      <c r="E599" s="48">
        <v>0</v>
      </c>
      <c r="F599" s="31">
        <v>0</v>
      </c>
      <c r="G599" s="145">
        <v>98233</v>
      </c>
      <c r="H599" s="31"/>
      <c r="I599" s="145"/>
      <c r="J599" s="202">
        <v>80000</v>
      </c>
    </row>
    <row r="600" spans="1:11" hidden="1" x14ac:dyDescent="0.3">
      <c r="A600" s="76" t="s">
        <v>340</v>
      </c>
      <c r="B600" s="77" t="s">
        <v>341</v>
      </c>
      <c r="C600" s="48">
        <v>0</v>
      </c>
      <c r="D600" s="114">
        <v>0</v>
      </c>
      <c r="E600" s="48">
        <v>0</v>
      </c>
      <c r="F600" s="31">
        <v>0</v>
      </c>
      <c r="G600" s="145">
        <v>100824</v>
      </c>
      <c r="H600" s="145"/>
      <c r="I600" s="145"/>
      <c r="J600" s="202"/>
    </row>
    <row r="601" spans="1:11" hidden="1" x14ac:dyDescent="0.3">
      <c r="A601" s="76"/>
      <c r="B601" s="77" t="s">
        <v>372</v>
      </c>
      <c r="C601" s="48">
        <v>0</v>
      </c>
      <c r="D601" s="114">
        <v>0</v>
      </c>
      <c r="E601" s="48">
        <v>0</v>
      </c>
      <c r="F601" s="31">
        <v>0</v>
      </c>
      <c r="G601" s="145">
        <v>86650</v>
      </c>
      <c r="H601" s="145"/>
      <c r="I601" s="145"/>
      <c r="J601" s="202"/>
    </row>
    <row r="602" spans="1:11" x14ac:dyDescent="0.3">
      <c r="A602" s="73">
        <v>4502</v>
      </c>
      <c r="B602" s="73" t="s">
        <v>373</v>
      </c>
      <c r="C602" s="24">
        <v>-51000</v>
      </c>
      <c r="D602" s="24">
        <f>SUM(D603:D607)</f>
        <v>-78316</v>
      </c>
      <c r="E602" s="131">
        <v>-58825</v>
      </c>
      <c r="F602" s="24">
        <f>SUM(F603:F609)</f>
        <v>-241497</v>
      </c>
      <c r="G602" s="24">
        <f>SUM(G603:G610)</f>
        <v>-80493</v>
      </c>
      <c r="H602" s="24">
        <f>SUM(H603:H611)</f>
        <v>-95000</v>
      </c>
      <c r="I602" s="24">
        <f>SUM(I603:I611)</f>
        <v>-82149.72</v>
      </c>
      <c r="J602" s="196">
        <f>SUM(J603:J611)</f>
        <v>-105000</v>
      </c>
    </row>
    <row r="603" spans="1:11" hidden="1" x14ac:dyDescent="0.3">
      <c r="A603" s="74" t="s">
        <v>159</v>
      </c>
      <c r="B603" s="10" t="s">
        <v>374</v>
      </c>
      <c r="C603" s="99"/>
      <c r="D603" s="99">
        <v>-48950</v>
      </c>
      <c r="E603" s="48">
        <v>0</v>
      </c>
      <c r="F603" s="31">
        <v>-142000</v>
      </c>
      <c r="G603" s="146">
        <v>0</v>
      </c>
      <c r="H603" s="146">
        <v>0</v>
      </c>
      <c r="I603" s="146"/>
      <c r="J603" s="202"/>
    </row>
    <row r="604" spans="1:11" x14ac:dyDescent="0.3">
      <c r="A604" s="74" t="s">
        <v>417</v>
      </c>
      <c r="B604" s="10" t="s">
        <v>375</v>
      </c>
      <c r="C604" s="99"/>
      <c r="D604" s="99"/>
      <c r="E604" s="48"/>
      <c r="F604" s="31"/>
      <c r="G604" s="146"/>
      <c r="H604" s="146">
        <v>-40000</v>
      </c>
      <c r="I604" s="146">
        <v>-37276</v>
      </c>
      <c r="J604" s="202">
        <v>-40000</v>
      </c>
    </row>
    <row r="605" spans="1:11" hidden="1" x14ac:dyDescent="0.3">
      <c r="A605" s="74" t="s">
        <v>340</v>
      </c>
      <c r="B605" s="10" t="s">
        <v>376</v>
      </c>
      <c r="C605" s="99"/>
      <c r="D605" s="99"/>
      <c r="E605" s="48"/>
      <c r="F605" s="31"/>
      <c r="G605" s="146">
        <v>-16253</v>
      </c>
      <c r="H605" s="146"/>
      <c r="I605" s="146"/>
      <c r="J605" s="202"/>
    </row>
    <row r="606" spans="1:11" hidden="1" x14ac:dyDescent="0.3">
      <c r="A606" s="74" t="s">
        <v>147</v>
      </c>
      <c r="B606" s="10" t="s">
        <v>366</v>
      </c>
      <c r="C606" s="99"/>
      <c r="D606" s="99"/>
      <c r="E606" s="48">
        <v>0</v>
      </c>
      <c r="F606" s="31"/>
      <c r="G606" s="146">
        <v>-7520</v>
      </c>
      <c r="H606" s="146">
        <v>0</v>
      </c>
      <c r="I606" s="146"/>
      <c r="J606" s="202"/>
    </row>
    <row r="607" spans="1:11" x14ac:dyDescent="0.3">
      <c r="A607" s="74" t="s">
        <v>180</v>
      </c>
      <c r="B607" s="10" t="s">
        <v>377</v>
      </c>
      <c r="C607" s="99"/>
      <c r="D607" s="99">
        <v>-29366</v>
      </c>
      <c r="E607" s="48">
        <v>0</v>
      </c>
      <c r="F607" s="31">
        <v>-19497</v>
      </c>
      <c r="G607" s="146">
        <v>-16514</v>
      </c>
      <c r="H607" s="146">
        <v>-40000</v>
      </c>
      <c r="I607" s="145">
        <v>-29873.72</v>
      </c>
      <c r="J607" s="202">
        <v>-50000</v>
      </c>
    </row>
    <row r="608" spans="1:11" ht="27" hidden="1" customHeight="1" x14ac:dyDescent="0.3">
      <c r="A608" s="74" t="s">
        <v>180</v>
      </c>
      <c r="B608" s="20" t="s">
        <v>378</v>
      </c>
      <c r="C608" s="12"/>
      <c r="D608" s="12">
        <v>0</v>
      </c>
      <c r="E608" s="48">
        <v>0</v>
      </c>
      <c r="F608" s="31">
        <v>-60000</v>
      </c>
      <c r="G608" s="146"/>
      <c r="H608" s="146">
        <v>0</v>
      </c>
      <c r="I608" s="146"/>
      <c r="J608" s="202"/>
    </row>
    <row r="609" spans="1:14" hidden="1" x14ac:dyDescent="0.3">
      <c r="A609" s="74" t="s">
        <v>239</v>
      </c>
      <c r="B609" s="10" t="s">
        <v>379</v>
      </c>
      <c r="C609" s="99"/>
      <c r="D609" s="99">
        <v>0</v>
      </c>
      <c r="E609" s="48">
        <v>0</v>
      </c>
      <c r="F609" s="31">
        <v>-20000</v>
      </c>
      <c r="G609" s="146"/>
      <c r="H609" s="146"/>
      <c r="I609" s="146"/>
      <c r="J609" s="202"/>
    </row>
    <row r="610" spans="1:14" hidden="1" x14ac:dyDescent="0.3">
      <c r="A610" s="74" t="s">
        <v>157</v>
      </c>
      <c r="B610" s="78" t="s">
        <v>380</v>
      </c>
      <c r="C610" s="115"/>
      <c r="D610" s="115">
        <v>0</v>
      </c>
      <c r="E610" s="115">
        <v>0</v>
      </c>
      <c r="F610" s="115">
        <v>0</v>
      </c>
      <c r="G610" s="146">
        <v>-40206</v>
      </c>
      <c r="H610" s="146">
        <v>0</v>
      </c>
      <c r="I610" s="146"/>
      <c r="J610" s="202"/>
    </row>
    <row r="611" spans="1:14" x14ac:dyDescent="0.3">
      <c r="A611" s="74" t="s">
        <v>255</v>
      </c>
      <c r="B611" s="78" t="s">
        <v>381</v>
      </c>
      <c r="C611" s="115"/>
      <c r="D611" s="115"/>
      <c r="E611" s="115"/>
      <c r="F611" s="115"/>
      <c r="G611" s="146"/>
      <c r="H611" s="146">
        <v>-15000</v>
      </c>
      <c r="I611" s="146">
        <v>-15000</v>
      </c>
      <c r="J611" s="202">
        <v>-15000</v>
      </c>
      <c r="N611" s="210"/>
    </row>
    <row r="612" spans="1:14" hidden="1" x14ac:dyDescent="0.3">
      <c r="A612" s="75" t="s">
        <v>382</v>
      </c>
      <c r="B612" s="79" t="s">
        <v>383</v>
      </c>
      <c r="C612" s="80">
        <v>0</v>
      </c>
      <c r="D612" s="80">
        <v>0</v>
      </c>
      <c r="E612" s="133">
        <v>0</v>
      </c>
      <c r="F612" s="80">
        <v>0</v>
      </c>
      <c r="G612" s="80">
        <v>0</v>
      </c>
      <c r="H612" s="80">
        <v>0</v>
      </c>
      <c r="I612" s="80"/>
      <c r="J612" s="202"/>
    </row>
    <row r="613" spans="1:14" x14ac:dyDescent="0.3">
      <c r="A613" s="73">
        <v>1501</v>
      </c>
      <c r="B613" s="73" t="s">
        <v>384</v>
      </c>
      <c r="C613" s="24">
        <f t="shared" ref="C613:D613" si="153">C614</f>
        <v>0</v>
      </c>
      <c r="D613" s="24">
        <f t="shared" si="153"/>
        <v>-16000</v>
      </c>
      <c r="E613" s="131">
        <f>E614</f>
        <v>0</v>
      </c>
      <c r="F613" s="24">
        <f t="shared" ref="F613:J613" si="154">F614</f>
        <v>-16000</v>
      </c>
      <c r="G613" s="24">
        <f t="shared" si="154"/>
        <v>-235300</v>
      </c>
      <c r="H613" s="24">
        <f t="shared" si="154"/>
        <v>-86000</v>
      </c>
      <c r="I613" s="24">
        <f>I614</f>
        <v>-86000</v>
      </c>
      <c r="J613" s="196">
        <f t="shared" si="154"/>
        <v>-86000</v>
      </c>
    </row>
    <row r="614" spans="1:14" x14ac:dyDescent="0.3">
      <c r="A614" s="10"/>
      <c r="B614" s="10" t="s">
        <v>385</v>
      </c>
      <c r="C614" s="99"/>
      <c r="D614" s="99">
        <v>-16000</v>
      </c>
      <c r="E614" s="48"/>
      <c r="F614" s="31">
        <v>-16000</v>
      </c>
      <c r="G614" s="31">
        <v>-235300</v>
      </c>
      <c r="H614" s="31">
        <v>-86000</v>
      </c>
      <c r="I614" s="31">
        <v>-86000</v>
      </c>
      <c r="J614" s="202">
        <v>-86000</v>
      </c>
    </row>
    <row r="615" spans="1:14" x14ac:dyDescent="0.3">
      <c r="A615" s="73">
        <v>650</v>
      </c>
      <c r="B615" s="73" t="s">
        <v>386</v>
      </c>
      <c r="C615" s="80">
        <v>-2540</v>
      </c>
      <c r="D615" s="80">
        <v>-7243</v>
      </c>
      <c r="E615" s="131">
        <v>-1605</v>
      </c>
      <c r="F615" s="24">
        <v>-10708</v>
      </c>
      <c r="G615" s="24">
        <v>-12512</v>
      </c>
      <c r="H615" s="24">
        <v>-15000</v>
      </c>
      <c r="I615" s="24">
        <v>-9853.9599999999991</v>
      </c>
      <c r="J615" s="204">
        <v>-31000</v>
      </c>
    </row>
    <row r="616" spans="1:14" x14ac:dyDescent="0.3">
      <c r="A616" s="73">
        <v>655</v>
      </c>
      <c r="B616" s="73" t="s">
        <v>387</v>
      </c>
      <c r="C616" s="80">
        <v>291</v>
      </c>
      <c r="D616" s="80">
        <v>0</v>
      </c>
      <c r="E616" s="131">
        <v>28</v>
      </c>
      <c r="F616" s="24">
        <v>0</v>
      </c>
      <c r="G616" s="24">
        <v>40</v>
      </c>
      <c r="H616" s="24">
        <v>50</v>
      </c>
      <c r="I616" s="24">
        <v>67.81</v>
      </c>
      <c r="J616" s="204">
        <v>50</v>
      </c>
    </row>
    <row r="617" spans="1:14" x14ac:dyDescent="0.3">
      <c r="A617" s="81"/>
      <c r="B617" s="81"/>
      <c r="C617" s="97"/>
      <c r="D617" s="97"/>
      <c r="E617" s="97"/>
      <c r="F617" s="82"/>
    </row>
    <row r="618" spans="1:14" x14ac:dyDescent="0.3">
      <c r="E618" s="117"/>
      <c r="F618" s="118"/>
    </row>
    <row r="619" spans="1:14" x14ac:dyDescent="0.3">
      <c r="A619" s="83"/>
      <c r="B619" s="84" t="s">
        <v>388</v>
      </c>
      <c r="C619" s="85">
        <f t="shared" ref="C619:H619" si="155">C549+C553</f>
        <v>38671</v>
      </c>
      <c r="D619" s="85">
        <f t="shared" si="155"/>
        <v>-119401</v>
      </c>
      <c r="E619" s="137">
        <f t="shared" si="155"/>
        <v>-44497</v>
      </c>
      <c r="F619" s="85">
        <f t="shared" si="155"/>
        <v>-356365</v>
      </c>
      <c r="G619" s="85">
        <f t="shared" si="155"/>
        <v>254522</v>
      </c>
      <c r="H619" s="85">
        <f t="shared" si="155"/>
        <v>-356446</v>
      </c>
      <c r="I619" s="85">
        <f>I549+I553</f>
        <v>274906.57999999891</v>
      </c>
      <c r="J619" s="196">
        <f>J549+J553</f>
        <v>-1439029.04</v>
      </c>
    </row>
    <row r="620" spans="1:14" x14ac:dyDescent="0.3">
      <c r="E620" s="117"/>
      <c r="F620" s="118"/>
      <c r="G620" s="192"/>
    </row>
    <row r="621" spans="1:14" x14ac:dyDescent="0.3">
      <c r="E621" s="117"/>
      <c r="F621" s="118"/>
      <c r="G621" s="193"/>
    </row>
    <row r="622" spans="1:14" ht="56.25" customHeight="1" x14ac:dyDescent="0.3">
      <c r="A622" s="86"/>
      <c r="B622" s="86" t="s">
        <v>389</v>
      </c>
      <c r="C622" s="87" t="s">
        <v>94</v>
      </c>
      <c r="D622" s="87" t="s">
        <v>95</v>
      </c>
      <c r="E622" s="87" t="s">
        <v>96</v>
      </c>
      <c r="F622" s="87" t="s">
        <v>97</v>
      </c>
      <c r="G622" s="184" t="s">
        <v>42</v>
      </c>
      <c r="H622" s="184" t="s">
        <v>390</v>
      </c>
      <c r="I622" s="184"/>
      <c r="J622" s="285" t="s">
        <v>391</v>
      </c>
    </row>
    <row r="623" spans="1:14" x14ac:dyDescent="0.3">
      <c r="A623" s="4"/>
      <c r="B623" s="4" t="s">
        <v>325</v>
      </c>
      <c r="C623" s="88">
        <f t="shared" ref="C623:D623" si="156">SUM(C624:C625)</f>
        <v>-84304</v>
      </c>
      <c r="D623" s="88">
        <f t="shared" si="156"/>
        <v>126274</v>
      </c>
      <c r="E623" s="135">
        <f>SUM(E624:E625)</f>
        <v>-73216</v>
      </c>
      <c r="F623" s="88">
        <f t="shared" ref="F623" si="157">SUM(F624:F625)</f>
        <v>335551</v>
      </c>
      <c r="G623" s="88">
        <f t="shared" ref="G623" si="158">SUM(G624:G625)</f>
        <v>-192843</v>
      </c>
      <c r="H623" s="88">
        <f t="shared" ref="H623" si="159">SUM(H624:H625)</f>
        <v>-161314</v>
      </c>
      <c r="I623" s="88">
        <f>SUM(I624:I625)</f>
        <v>-164876.92000000001</v>
      </c>
      <c r="J623" s="195">
        <f>SUM(J624:J625)</f>
        <v>1300000</v>
      </c>
    </row>
    <row r="624" spans="1:14" x14ac:dyDescent="0.3">
      <c r="A624" s="89">
        <v>2585</v>
      </c>
      <c r="B624" s="89" t="s">
        <v>33</v>
      </c>
      <c r="C624" s="110">
        <v>0</v>
      </c>
      <c r="D624" s="110">
        <v>186000</v>
      </c>
      <c r="E624" s="138">
        <v>0</v>
      </c>
      <c r="F624" s="90">
        <v>433250</v>
      </c>
      <c r="G624" s="90">
        <v>0</v>
      </c>
      <c r="H624" s="90">
        <v>0</v>
      </c>
      <c r="I624" s="90"/>
      <c r="J624" s="284">
        <f>1457000</f>
        <v>1457000</v>
      </c>
      <c r="K624" s="139"/>
      <c r="N624" s="246"/>
    </row>
    <row r="625" spans="1:11" x14ac:dyDescent="0.3">
      <c r="A625" s="91" t="s">
        <v>34</v>
      </c>
      <c r="B625" s="89" t="s">
        <v>35</v>
      </c>
      <c r="C625" s="110">
        <v>-84304</v>
      </c>
      <c r="D625" s="110">
        <v>-59726</v>
      </c>
      <c r="E625" s="138">
        <v>-73216</v>
      </c>
      <c r="F625" s="90">
        <v>-97699</v>
      </c>
      <c r="G625" s="90">
        <v>-192843</v>
      </c>
      <c r="H625" s="90">
        <v>-161314</v>
      </c>
      <c r="I625" s="90">
        <v>-164876.92000000001</v>
      </c>
      <c r="J625" s="284">
        <v>-157000</v>
      </c>
      <c r="K625" s="139"/>
    </row>
    <row r="626" spans="1:11" x14ac:dyDescent="0.3">
      <c r="A626" s="92"/>
      <c r="B626" s="232" t="s">
        <v>392</v>
      </c>
      <c r="C626" s="233"/>
      <c r="D626" s="233"/>
      <c r="E626" s="233"/>
      <c r="F626" s="234"/>
      <c r="G626" s="235"/>
      <c r="H626" s="236">
        <v>246177</v>
      </c>
      <c r="I626" s="236">
        <v>-56843</v>
      </c>
      <c r="J626" s="286">
        <v>0</v>
      </c>
    </row>
    <row r="627" spans="1:11" x14ac:dyDescent="0.3">
      <c r="A627" s="92"/>
      <c r="B627" s="92"/>
      <c r="C627" s="98"/>
      <c r="D627" s="98"/>
      <c r="E627" s="98"/>
      <c r="F627" s="93"/>
      <c r="J627" s="286"/>
    </row>
    <row r="628" spans="1:11" x14ac:dyDescent="0.3">
      <c r="A628" s="73"/>
      <c r="B628" s="73" t="s">
        <v>393</v>
      </c>
      <c r="C628" s="24">
        <v>-67189</v>
      </c>
      <c r="D628" s="24">
        <f t="shared" ref="D628:F628" si="160">D619+D623</f>
        <v>6873</v>
      </c>
      <c r="E628" s="131">
        <v>-117776</v>
      </c>
      <c r="F628" s="24">
        <f t="shared" si="160"/>
        <v>-20814</v>
      </c>
      <c r="G628" s="24">
        <f>G619+G623</f>
        <v>61679</v>
      </c>
      <c r="H628" s="196">
        <f>H619+H623+H626</f>
        <v>-271583</v>
      </c>
      <c r="I628" s="196">
        <f>I619+I623+I626</f>
        <v>53186.659999998898</v>
      </c>
      <c r="J628" s="196">
        <f>J619+J623+J626</f>
        <v>-139029.04000000004</v>
      </c>
    </row>
    <row r="629" spans="1:11" x14ac:dyDescent="0.3">
      <c r="A629" s="73"/>
      <c r="B629" s="73" t="s">
        <v>394</v>
      </c>
      <c r="C629" s="80">
        <v>377921</v>
      </c>
      <c r="D629" s="80">
        <v>14426</v>
      </c>
      <c r="E629" s="131">
        <v>310732</v>
      </c>
      <c r="F629" s="24">
        <v>21299</v>
      </c>
      <c r="G629" s="24">
        <v>200515</v>
      </c>
      <c r="H629" s="24">
        <v>262194</v>
      </c>
      <c r="I629" s="82">
        <v>262194</v>
      </c>
      <c r="J629" s="237">
        <v>315381</v>
      </c>
    </row>
    <row r="630" spans="1:11" x14ac:dyDescent="0.3">
      <c r="A630" s="111"/>
      <c r="B630" s="112" t="s">
        <v>395</v>
      </c>
      <c r="C630" s="113">
        <f t="shared" ref="C630:F630" si="161">C628+C629</f>
        <v>310732</v>
      </c>
      <c r="D630" s="113">
        <f t="shared" si="161"/>
        <v>21299</v>
      </c>
      <c r="E630" s="113">
        <f t="shared" si="161"/>
        <v>192956</v>
      </c>
      <c r="F630" s="113">
        <f t="shared" si="161"/>
        <v>485</v>
      </c>
      <c r="G630" s="113">
        <f>G628+G629</f>
        <v>262194</v>
      </c>
      <c r="H630" s="238">
        <f>H628+H629</f>
        <v>-9389</v>
      </c>
      <c r="I630" s="238">
        <f>I628+I629</f>
        <v>315380.65999999887</v>
      </c>
      <c r="J630" s="238">
        <f>J628+J629+J626</f>
        <v>176351.95999999996</v>
      </c>
    </row>
    <row r="631" spans="1:11" x14ac:dyDescent="0.3">
      <c r="E631" s="117"/>
    </row>
    <row r="632" spans="1:11" x14ac:dyDescent="0.3">
      <c r="E632" s="117"/>
    </row>
    <row r="633" spans="1:11" x14ac:dyDescent="0.3">
      <c r="E633" s="117"/>
    </row>
    <row r="634" spans="1:11" x14ac:dyDescent="0.3">
      <c r="E634" s="117"/>
    </row>
    <row r="635" spans="1:11" x14ac:dyDescent="0.3">
      <c r="E635" s="117"/>
    </row>
    <row r="636" spans="1:11" x14ac:dyDescent="0.3">
      <c r="E636" s="117"/>
    </row>
    <row r="637" spans="1:11" x14ac:dyDescent="0.3">
      <c r="E637" s="117"/>
    </row>
    <row r="638" spans="1:11" x14ac:dyDescent="0.3">
      <c r="E638" s="117"/>
    </row>
    <row r="639" spans="1:11" x14ac:dyDescent="0.3">
      <c r="E639" s="117"/>
    </row>
    <row r="640" spans="1:11" x14ac:dyDescent="0.3">
      <c r="E640" s="117"/>
    </row>
    <row r="641" spans="5:5" x14ac:dyDescent="0.3">
      <c r="E641" s="117"/>
    </row>
    <row r="642" spans="5:5" x14ac:dyDescent="0.3">
      <c r="E642" s="117"/>
    </row>
    <row r="643" spans="5:5" x14ac:dyDescent="0.3">
      <c r="E643" s="117"/>
    </row>
    <row r="644" spans="5:5" x14ac:dyDescent="0.3">
      <c r="E644" s="117"/>
    </row>
    <row r="645" spans="5:5" x14ac:dyDescent="0.3">
      <c r="E645" s="117"/>
    </row>
    <row r="646" spans="5:5" x14ac:dyDescent="0.3">
      <c r="E646" s="117"/>
    </row>
    <row r="647" spans="5:5" x14ac:dyDescent="0.3">
      <c r="E647" s="117"/>
    </row>
    <row r="648" spans="5:5" x14ac:dyDescent="0.3">
      <c r="E648" s="117"/>
    </row>
    <row r="649" spans="5:5" x14ac:dyDescent="0.3">
      <c r="E649" s="117"/>
    </row>
    <row r="650" spans="5:5" x14ac:dyDescent="0.3">
      <c r="E650" s="117"/>
    </row>
    <row r="651" spans="5:5" x14ac:dyDescent="0.3">
      <c r="E651" s="117"/>
    </row>
    <row r="652" spans="5:5" x14ac:dyDescent="0.3">
      <c r="E652" s="117"/>
    </row>
    <row r="653" spans="5:5" x14ac:dyDescent="0.3">
      <c r="E653" s="117"/>
    </row>
    <row r="654" spans="5:5" x14ac:dyDescent="0.3">
      <c r="E654" s="117"/>
    </row>
    <row r="655" spans="5:5" x14ac:dyDescent="0.3">
      <c r="E655" s="117"/>
    </row>
    <row r="656" spans="5:5" x14ac:dyDescent="0.3">
      <c r="E656" s="117"/>
    </row>
    <row r="657" spans="5:5" x14ac:dyDescent="0.3">
      <c r="E657" s="117"/>
    </row>
    <row r="658" spans="5:5" x14ac:dyDescent="0.3">
      <c r="E658" s="117"/>
    </row>
    <row r="659" spans="5:5" x14ac:dyDescent="0.3">
      <c r="E659" s="117"/>
    </row>
    <row r="660" spans="5:5" x14ac:dyDescent="0.3">
      <c r="E660" s="117"/>
    </row>
    <row r="661" spans="5:5" x14ac:dyDescent="0.3">
      <c r="E661" s="117"/>
    </row>
    <row r="662" spans="5:5" x14ac:dyDescent="0.3">
      <c r="E662" s="117"/>
    </row>
    <row r="663" spans="5:5" x14ac:dyDescent="0.3">
      <c r="E663" s="117"/>
    </row>
    <row r="664" spans="5:5" x14ac:dyDescent="0.3">
      <c r="E664" s="117"/>
    </row>
    <row r="665" spans="5:5" x14ac:dyDescent="0.3">
      <c r="E665" s="117"/>
    </row>
    <row r="666" spans="5:5" x14ac:dyDescent="0.3">
      <c r="E666" s="117"/>
    </row>
    <row r="667" spans="5:5" x14ac:dyDescent="0.3">
      <c r="E667" s="117"/>
    </row>
    <row r="668" spans="5:5" x14ac:dyDescent="0.3">
      <c r="E668" s="117"/>
    </row>
    <row r="669" spans="5:5" x14ac:dyDescent="0.3">
      <c r="E669" s="117"/>
    </row>
    <row r="670" spans="5:5" x14ac:dyDescent="0.3">
      <c r="E670" s="117"/>
    </row>
    <row r="671" spans="5:5" x14ac:dyDescent="0.3">
      <c r="E671" s="117"/>
    </row>
    <row r="672" spans="5:5" x14ac:dyDescent="0.3">
      <c r="E672" s="117"/>
    </row>
    <row r="673" spans="5:5" x14ac:dyDescent="0.3">
      <c r="E673" s="117"/>
    </row>
    <row r="674" spans="5:5" x14ac:dyDescent="0.3">
      <c r="E674" s="117"/>
    </row>
    <row r="675" spans="5:5" x14ac:dyDescent="0.3">
      <c r="E675" s="117"/>
    </row>
    <row r="676" spans="5:5" x14ac:dyDescent="0.3">
      <c r="E676" s="117"/>
    </row>
    <row r="677" spans="5:5" x14ac:dyDescent="0.3">
      <c r="E677" s="117"/>
    </row>
    <row r="678" spans="5:5" x14ac:dyDescent="0.3">
      <c r="E678" s="117"/>
    </row>
    <row r="679" spans="5:5" x14ac:dyDescent="0.3">
      <c r="E679" s="117"/>
    </row>
    <row r="680" spans="5:5" x14ac:dyDescent="0.3">
      <c r="E680" s="117"/>
    </row>
    <row r="681" spans="5:5" x14ac:dyDescent="0.3">
      <c r="E681" s="117"/>
    </row>
    <row r="682" spans="5:5" x14ac:dyDescent="0.3">
      <c r="E682" s="117"/>
    </row>
    <row r="683" spans="5:5" x14ac:dyDescent="0.3">
      <c r="E683" s="117"/>
    </row>
    <row r="684" spans="5:5" x14ac:dyDescent="0.3">
      <c r="E684" s="117"/>
    </row>
    <row r="685" spans="5:5" x14ac:dyDescent="0.3">
      <c r="E685" s="117"/>
    </row>
    <row r="686" spans="5:5" x14ac:dyDescent="0.3">
      <c r="E686" s="117"/>
    </row>
    <row r="687" spans="5:5" x14ac:dyDescent="0.3">
      <c r="E687" s="117"/>
    </row>
    <row r="688" spans="5:5" x14ac:dyDescent="0.3">
      <c r="E688" s="117"/>
    </row>
    <row r="689" spans="5:5" x14ac:dyDescent="0.3">
      <c r="E689" s="117"/>
    </row>
    <row r="690" spans="5:5" x14ac:dyDescent="0.3">
      <c r="E690" s="117"/>
    </row>
    <row r="691" spans="5:5" x14ac:dyDescent="0.3">
      <c r="E691" s="117"/>
    </row>
    <row r="692" spans="5:5" x14ac:dyDescent="0.3">
      <c r="E692" s="117"/>
    </row>
    <row r="693" spans="5:5" x14ac:dyDescent="0.3">
      <c r="E693" s="117"/>
    </row>
    <row r="694" spans="5:5" x14ac:dyDescent="0.3">
      <c r="E694" s="117"/>
    </row>
    <row r="695" spans="5:5" x14ac:dyDescent="0.3">
      <c r="E695" s="117"/>
    </row>
    <row r="696" spans="5:5" x14ac:dyDescent="0.3">
      <c r="E696" s="117"/>
    </row>
    <row r="697" spans="5:5" x14ac:dyDescent="0.3">
      <c r="E697" s="117"/>
    </row>
    <row r="698" spans="5:5" x14ac:dyDescent="0.3">
      <c r="E698" s="117"/>
    </row>
    <row r="699" spans="5:5" x14ac:dyDescent="0.3">
      <c r="E699" s="117"/>
    </row>
    <row r="700" spans="5:5" x14ac:dyDescent="0.3">
      <c r="E700" s="117"/>
    </row>
    <row r="701" spans="5:5" x14ac:dyDescent="0.3">
      <c r="E701" s="117"/>
    </row>
    <row r="702" spans="5:5" x14ac:dyDescent="0.3">
      <c r="E702" s="117"/>
    </row>
    <row r="703" spans="5:5" x14ac:dyDescent="0.3">
      <c r="E703" s="117"/>
    </row>
    <row r="704" spans="5:5" x14ac:dyDescent="0.3">
      <c r="E704" s="117"/>
    </row>
    <row r="705" spans="5:5" x14ac:dyDescent="0.3">
      <c r="E705" s="117"/>
    </row>
    <row r="706" spans="5:5" x14ac:dyDescent="0.3">
      <c r="E706" s="117"/>
    </row>
    <row r="707" spans="5:5" x14ac:dyDescent="0.3">
      <c r="E707" s="117"/>
    </row>
    <row r="708" spans="5:5" x14ac:dyDescent="0.3">
      <c r="E708" s="117"/>
    </row>
    <row r="709" spans="5:5" x14ac:dyDescent="0.3">
      <c r="E709" s="117"/>
    </row>
    <row r="710" spans="5:5" x14ac:dyDescent="0.3">
      <c r="E710" s="117"/>
    </row>
    <row r="711" spans="5:5" x14ac:dyDescent="0.3">
      <c r="E711" s="117"/>
    </row>
    <row r="712" spans="5:5" x14ac:dyDescent="0.3">
      <c r="E712" s="117"/>
    </row>
    <row r="713" spans="5:5" x14ac:dyDescent="0.3">
      <c r="E713" s="117"/>
    </row>
    <row r="714" spans="5:5" x14ac:dyDescent="0.3">
      <c r="E714" s="117"/>
    </row>
    <row r="715" spans="5:5" x14ac:dyDescent="0.3">
      <c r="E715" s="117"/>
    </row>
    <row r="716" spans="5:5" x14ac:dyDescent="0.3">
      <c r="E716" s="117"/>
    </row>
    <row r="717" spans="5:5" x14ac:dyDescent="0.3">
      <c r="E717" s="117"/>
    </row>
    <row r="718" spans="5:5" x14ac:dyDescent="0.3">
      <c r="E718" s="117"/>
    </row>
    <row r="719" spans="5:5" x14ac:dyDescent="0.3">
      <c r="E719" s="117"/>
    </row>
    <row r="720" spans="5:5" x14ac:dyDescent="0.3">
      <c r="E720" s="117"/>
    </row>
    <row r="721" spans="5:5" x14ac:dyDescent="0.3">
      <c r="E721" s="117"/>
    </row>
    <row r="722" spans="5:5" x14ac:dyDescent="0.3">
      <c r="E722" s="117"/>
    </row>
    <row r="723" spans="5:5" x14ac:dyDescent="0.3">
      <c r="E723" s="117"/>
    </row>
    <row r="724" spans="5:5" x14ac:dyDescent="0.3">
      <c r="E724" s="117"/>
    </row>
    <row r="725" spans="5:5" x14ac:dyDescent="0.3">
      <c r="E725" s="117"/>
    </row>
    <row r="726" spans="5:5" x14ac:dyDescent="0.3">
      <c r="E726" s="117"/>
    </row>
    <row r="727" spans="5:5" x14ac:dyDescent="0.3">
      <c r="E727" s="117"/>
    </row>
    <row r="728" spans="5:5" x14ac:dyDescent="0.3">
      <c r="E728" s="117"/>
    </row>
    <row r="729" spans="5:5" x14ac:dyDescent="0.3">
      <c r="E729" s="117"/>
    </row>
    <row r="730" spans="5:5" x14ac:dyDescent="0.3">
      <c r="E730" s="117"/>
    </row>
    <row r="731" spans="5:5" x14ac:dyDescent="0.3">
      <c r="E731" s="117"/>
    </row>
    <row r="732" spans="5:5" x14ac:dyDescent="0.3">
      <c r="E732" s="117"/>
    </row>
    <row r="733" spans="5:5" x14ac:dyDescent="0.3">
      <c r="E733" s="117"/>
    </row>
    <row r="734" spans="5:5" x14ac:dyDescent="0.3">
      <c r="E734" s="117"/>
    </row>
    <row r="735" spans="5:5" x14ac:dyDescent="0.3">
      <c r="E735" s="117"/>
    </row>
    <row r="736" spans="5:5" x14ac:dyDescent="0.3">
      <c r="E736" s="117"/>
    </row>
    <row r="737" spans="5:5" x14ac:dyDescent="0.3">
      <c r="E737" s="117"/>
    </row>
    <row r="738" spans="5:5" x14ac:dyDescent="0.3">
      <c r="E738" s="117"/>
    </row>
    <row r="739" spans="5:5" x14ac:dyDescent="0.3">
      <c r="E739" s="117"/>
    </row>
    <row r="740" spans="5:5" x14ac:dyDescent="0.3">
      <c r="E740" s="117"/>
    </row>
    <row r="741" spans="5:5" x14ac:dyDescent="0.3">
      <c r="E741" s="117"/>
    </row>
    <row r="742" spans="5:5" x14ac:dyDescent="0.3">
      <c r="E742" s="117"/>
    </row>
    <row r="743" spans="5:5" x14ac:dyDescent="0.3">
      <c r="E743" s="117"/>
    </row>
    <row r="744" spans="5:5" x14ac:dyDescent="0.3">
      <c r="E744" s="117"/>
    </row>
    <row r="745" spans="5:5" x14ac:dyDescent="0.3">
      <c r="E745" s="117"/>
    </row>
    <row r="746" spans="5:5" x14ac:dyDescent="0.3">
      <c r="E746" s="117"/>
    </row>
    <row r="747" spans="5:5" x14ac:dyDescent="0.3">
      <c r="E747" s="117"/>
    </row>
    <row r="748" spans="5:5" x14ac:dyDescent="0.3">
      <c r="E748" s="117"/>
    </row>
    <row r="749" spans="5:5" x14ac:dyDescent="0.3">
      <c r="E749" s="117"/>
    </row>
    <row r="750" spans="5:5" x14ac:dyDescent="0.3">
      <c r="E750" s="117"/>
    </row>
    <row r="751" spans="5:5" x14ac:dyDescent="0.3">
      <c r="E751" s="117"/>
    </row>
    <row r="752" spans="5:5" x14ac:dyDescent="0.3">
      <c r="E752" s="117"/>
    </row>
    <row r="753" spans="5:5" x14ac:dyDescent="0.3">
      <c r="E753" s="117"/>
    </row>
    <row r="754" spans="5:5" x14ac:dyDescent="0.3">
      <c r="E754" s="117"/>
    </row>
    <row r="755" spans="5:5" x14ac:dyDescent="0.3">
      <c r="E755" s="117"/>
    </row>
    <row r="756" spans="5:5" x14ac:dyDescent="0.3">
      <c r="E756" s="117"/>
    </row>
    <row r="757" spans="5:5" x14ac:dyDescent="0.3">
      <c r="E757" s="117"/>
    </row>
    <row r="758" spans="5:5" x14ac:dyDescent="0.3">
      <c r="E758" s="117"/>
    </row>
    <row r="759" spans="5:5" x14ac:dyDescent="0.3">
      <c r="E759" s="117"/>
    </row>
    <row r="760" spans="5:5" x14ac:dyDescent="0.3">
      <c r="E760" s="117"/>
    </row>
    <row r="761" spans="5:5" x14ac:dyDescent="0.3">
      <c r="E761" s="117"/>
    </row>
    <row r="762" spans="5:5" x14ac:dyDescent="0.3">
      <c r="E762" s="117"/>
    </row>
    <row r="763" spans="5:5" x14ac:dyDescent="0.3">
      <c r="E763" s="117"/>
    </row>
    <row r="764" spans="5:5" x14ac:dyDescent="0.3">
      <c r="E764" s="117"/>
    </row>
    <row r="765" spans="5:5" x14ac:dyDescent="0.3">
      <c r="E765" s="117"/>
    </row>
    <row r="766" spans="5:5" x14ac:dyDescent="0.3">
      <c r="E766" s="117"/>
    </row>
    <row r="767" spans="5:5" x14ac:dyDescent="0.3">
      <c r="E767" s="117"/>
    </row>
    <row r="768" spans="5:5" x14ac:dyDescent="0.3">
      <c r="E768" s="117"/>
    </row>
    <row r="769" spans="5:5" x14ac:dyDescent="0.3">
      <c r="E769" s="117"/>
    </row>
    <row r="770" spans="5:5" x14ac:dyDescent="0.3">
      <c r="E770" s="117"/>
    </row>
    <row r="771" spans="5:5" x14ac:dyDescent="0.3">
      <c r="E771" s="117"/>
    </row>
    <row r="772" spans="5:5" x14ac:dyDescent="0.3">
      <c r="E772" s="117"/>
    </row>
    <row r="773" spans="5:5" x14ac:dyDescent="0.3">
      <c r="E773" s="117"/>
    </row>
    <row r="774" spans="5:5" x14ac:dyDescent="0.3">
      <c r="E774" s="117"/>
    </row>
    <row r="775" spans="5:5" x14ac:dyDescent="0.3">
      <c r="E775" s="117"/>
    </row>
    <row r="776" spans="5:5" x14ac:dyDescent="0.3">
      <c r="E776" s="117"/>
    </row>
    <row r="777" spans="5:5" x14ac:dyDescent="0.3">
      <c r="E777" s="117"/>
    </row>
    <row r="778" spans="5:5" x14ac:dyDescent="0.3">
      <c r="E778" s="117"/>
    </row>
    <row r="779" spans="5:5" x14ac:dyDescent="0.3">
      <c r="E779" s="117"/>
    </row>
    <row r="780" spans="5:5" x14ac:dyDescent="0.3">
      <c r="E780" s="117"/>
    </row>
    <row r="781" spans="5:5" x14ac:dyDescent="0.3">
      <c r="E781" s="117"/>
    </row>
    <row r="782" spans="5:5" x14ac:dyDescent="0.3">
      <c r="E782" s="117"/>
    </row>
    <row r="783" spans="5:5" x14ac:dyDescent="0.3">
      <c r="E783" s="117"/>
    </row>
    <row r="784" spans="5:5" x14ac:dyDescent="0.3">
      <c r="E784" s="117"/>
    </row>
    <row r="785" spans="5:5" x14ac:dyDescent="0.3">
      <c r="E785" s="117"/>
    </row>
    <row r="786" spans="5:5" x14ac:dyDescent="0.3">
      <c r="E786" s="117"/>
    </row>
    <row r="787" spans="5:5" x14ac:dyDescent="0.3">
      <c r="E787" s="117"/>
    </row>
    <row r="788" spans="5:5" x14ac:dyDescent="0.3">
      <c r="E788" s="117"/>
    </row>
    <row r="789" spans="5:5" x14ac:dyDescent="0.3">
      <c r="E789" s="117"/>
    </row>
    <row r="790" spans="5:5" x14ac:dyDescent="0.3">
      <c r="E790" s="117"/>
    </row>
    <row r="791" spans="5:5" x14ac:dyDescent="0.3">
      <c r="E791" s="117"/>
    </row>
    <row r="792" spans="5:5" x14ac:dyDescent="0.3">
      <c r="E792" s="117"/>
    </row>
    <row r="793" spans="5:5" x14ac:dyDescent="0.3">
      <c r="E793" s="117"/>
    </row>
    <row r="794" spans="5:5" x14ac:dyDescent="0.3">
      <c r="E794" s="117"/>
    </row>
    <row r="795" spans="5:5" x14ac:dyDescent="0.3">
      <c r="E795" s="117"/>
    </row>
    <row r="796" spans="5:5" x14ac:dyDescent="0.3">
      <c r="E796" s="117"/>
    </row>
    <row r="797" spans="5:5" x14ac:dyDescent="0.3">
      <c r="E797" s="117"/>
    </row>
    <row r="798" spans="5:5" x14ac:dyDescent="0.3">
      <c r="E798" s="117"/>
    </row>
    <row r="799" spans="5:5" x14ac:dyDescent="0.3">
      <c r="E799" s="117"/>
    </row>
    <row r="800" spans="5:5" x14ac:dyDescent="0.3">
      <c r="E800" s="117"/>
    </row>
    <row r="801" spans="5:5" x14ac:dyDescent="0.3">
      <c r="E801" s="117"/>
    </row>
    <row r="802" spans="5:5" x14ac:dyDescent="0.3">
      <c r="E802" s="117"/>
    </row>
    <row r="803" spans="5:5" x14ac:dyDescent="0.3">
      <c r="E803" s="117"/>
    </row>
    <row r="804" spans="5:5" x14ac:dyDescent="0.3">
      <c r="E804" s="117"/>
    </row>
    <row r="805" spans="5:5" x14ac:dyDescent="0.3">
      <c r="E805" s="117"/>
    </row>
    <row r="806" spans="5:5" x14ac:dyDescent="0.3">
      <c r="E806" s="117"/>
    </row>
    <row r="807" spans="5:5" x14ac:dyDescent="0.3">
      <c r="E807" s="117"/>
    </row>
    <row r="808" spans="5:5" x14ac:dyDescent="0.3">
      <c r="E808" s="117"/>
    </row>
    <row r="809" spans="5:5" x14ac:dyDescent="0.3">
      <c r="E809" s="117"/>
    </row>
    <row r="810" spans="5:5" x14ac:dyDescent="0.3">
      <c r="E810" s="117"/>
    </row>
    <row r="811" spans="5:5" x14ac:dyDescent="0.3">
      <c r="E811" s="117"/>
    </row>
    <row r="812" spans="5:5" x14ac:dyDescent="0.3">
      <c r="E812" s="117"/>
    </row>
    <row r="813" spans="5:5" x14ac:dyDescent="0.3">
      <c r="E813" s="117"/>
    </row>
    <row r="814" spans="5:5" x14ac:dyDescent="0.3">
      <c r="E814" s="117"/>
    </row>
    <row r="815" spans="5:5" x14ac:dyDescent="0.3">
      <c r="E815" s="117"/>
    </row>
    <row r="816" spans="5:5" x14ac:dyDescent="0.3">
      <c r="E816" s="117"/>
    </row>
    <row r="817" spans="5:5" x14ac:dyDescent="0.3">
      <c r="E817" s="117"/>
    </row>
    <row r="818" spans="5:5" x14ac:dyDescent="0.3">
      <c r="E818" s="117"/>
    </row>
    <row r="819" spans="5:5" x14ac:dyDescent="0.3">
      <c r="E819" s="117"/>
    </row>
    <row r="820" spans="5:5" x14ac:dyDescent="0.3">
      <c r="E820" s="117"/>
    </row>
    <row r="821" spans="5:5" x14ac:dyDescent="0.3">
      <c r="E821" s="117"/>
    </row>
    <row r="822" spans="5:5" x14ac:dyDescent="0.3">
      <c r="E822" s="117"/>
    </row>
    <row r="823" spans="5:5" x14ac:dyDescent="0.3">
      <c r="E823" s="117"/>
    </row>
    <row r="824" spans="5:5" x14ac:dyDescent="0.3">
      <c r="E824" s="117"/>
    </row>
    <row r="825" spans="5:5" x14ac:dyDescent="0.3">
      <c r="E825" s="117"/>
    </row>
    <row r="826" spans="5:5" x14ac:dyDescent="0.3">
      <c r="E826" s="117"/>
    </row>
    <row r="827" spans="5:5" x14ac:dyDescent="0.3">
      <c r="E827" s="117"/>
    </row>
    <row r="828" spans="5:5" x14ac:dyDescent="0.3">
      <c r="E828" s="117"/>
    </row>
    <row r="829" spans="5:5" x14ac:dyDescent="0.3">
      <c r="E829" s="117"/>
    </row>
    <row r="830" spans="5:5" x14ac:dyDescent="0.3">
      <c r="E830" s="117"/>
    </row>
    <row r="831" spans="5:5" x14ac:dyDescent="0.3">
      <c r="E831" s="117"/>
    </row>
    <row r="832" spans="5:5" x14ac:dyDescent="0.3">
      <c r="E832" s="117"/>
    </row>
    <row r="833" spans="5:5" x14ac:dyDescent="0.3">
      <c r="E833" s="117"/>
    </row>
    <row r="834" spans="5:5" x14ac:dyDescent="0.3">
      <c r="E834" s="117"/>
    </row>
    <row r="835" spans="5:5" x14ac:dyDescent="0.3">
      <c r="E835" s="117"/>
    </row>
    <row r="836" spans="5:5" x14ac:dyDescent="0.3">
      <c r="E836" s="117"/>
    </row>
    <row r="837" spans="5:5" x14ac:dyDescent="0.3">
      <c r="E837" s="117"/>
    </row>
    <row r="838" spans="5:5" x14ac:dyDescent="0.3">
      <c r="E838" s="117"/>
    </row>
    <row r="839" spans="5:5" x14ac:dyDescent="0.3">
      <c r="E839" s="117"/>
    </row>
    <row r="840" spans="5:5" x14ac:dyDescent="0.3">
      <c r="E840" s="117"/>
    </row>
    <row r="841" spans="5:5" x14ac:dyDescent="0.3">
      <c r="E841" s="117"/>
    </row>
    <row r="842" spans="5:5" x14ac:dyDescent="0.3">
      <c r="E842" s="117"/>
    </row>
    <row r="843" spans="5:5" x14ac:dyDescent="0.3">
      <c r="E843" s="117"/>
    </row>
    <row r="844" spans="5:5" x14ac:dyDescent="0.3">
      <c r="E844" s="117"/>
    </row>
    <row r="845" spans="5:5" x14ac:dyDescent="0.3">
      <c r="E845" s="117"/>
    </row>
    <row r="846" spans="5:5" x14ac:dyDescent="0.3">
      <c r="E846" s="117"/>
    </row>
    <row r="847" spans="5:5" x14ac:dyDescent="0.3">
      <c r="E847" s="117"/>
    </row>
    <row r="848" spans="5:5" x14ac:dyDescent="0.3">
      <c r="E848" s="117"/>
    </row>
    <row r="849" spans="5:5" x14ac:dyDescent="0.3">
      <c r="E849" s="117"/>
    </row>
    <row r="850" spans="5:5" x14ac:dyDescent="0.3">
      <c r="E850" s="117"/>
    </row>
    <row r="851" spans="5:5" x14ac:dyDescent="0.3">
      <c r="E851" s="117"/>
    </row>
    <row r="852" spans="5:5" x14ac:dyDescent="0.3">
      <c r="E852" s="117"/>
    </row>
    <row r="853" spans="5:5" x14ac:dyDescent="0.3">
      <c r="E853" s="117"/>
    </row>
    <row r="854" spans="5:5" x14ac:dyDescent="0.3">
      <c r="E854" s="117"/>
    </row>
    <row r="855" spans="5:5" x14ac:dyDescent="0.3">
      <c r="E855" s="117"/>
    </row>
    <row r="856" spans="5:5" x14ac:dyDescent="0.3">
      <c r="E856" s="117"/>
    </row>
    <row r="857" spans="5:5" x14ac:dyDescent="0.3">
      <c r="E857" s="117"/>
    </row>
    <row r="858" spans="5:5" x14ac:dyDescent="0.3">
      <c r="E858" s="117"/>
    </row>
    <row r="859" spans="5:5" x14ac:dyDescent="0.3">
      <c r="E859" s="117"/>
    </row>
    <row r="860" spans="5:5" x14ac:dyDescent="0.3">
      <c r="E860" s="117"/>
    </row>
    <row r="861" spans="5:5" x14ac:dyDescent="0.3">
      <c r="E861" s="117"/>
    </row>
    <row r="862" spans="5:5" x14ac:dyDescent="0.3">
      <c r="E862" s="117"/>
    </row>
    <row r="863" spans="5:5" x14ac:dyDescent="0.3">
      <c r="E863" s="117"/>
    </row>
    <row r="864" spans="5:5" x14ac:dyDescent="0.3">
      <c r="E864" s="117"/>
    </row>
    <row r="865" spans="5:5" x14ac:dyDescent="0.3">
      <c r="E865" s="117"/>
    </row>
    <row r="866" spans="5:5" x14ac:dyDescent="0.3">
      <c r="E866" s="117"/>
    </row>
    <row r="867" spans="5:5" x14ac:dyDescent="0.3">
      <c r="E867" s="117"/>
    </row>
    <row r="868" spans="5:5" x14ac:dyDescent="0.3">
      <c r="E868" s="117"/>
    </row>
    <row r="869" spans="5:5" x14ac:dyDescent="0.3">
      <c r="E869" s="117"/>
    </row>
    <row r="870" spans="5:5" x14ac:dyDescent="0.3">
      <c r="E870" s="117"/>
    </row>
    <row r="871" spans="5:5" x14ac:dyDescent="0.3">
      <c r="E871" s="117"/>
    </row>
    <row r="872" spans="5:5" x14ac:dyDescent="0.3">
      <c r="E872" s="117"/>
    </row>
    <row r="873" spans="5:5" x14ac:dyDescent="0.3">
      <c r="E873" s="117"/>
    </row>
    <row r="874" spans="5:5" x14ac:dyDescent="0.3">
      <c r="E874" s="117"/>
    </row>
    <row r="875" spans="5:5" x14ac:dyDescent="0.3">
      <c r="E875" s="117"/>
    </row>
    <row r="876" spans="5:5" x14ac:dyDescent="0.3">
      <c r="E876" s="117"/>
    </row>
    <row r="877" spans="5:5" x14ac:dyDescent="0.3">
      <c r="E877" s="117"/>
    </row>
    <row r="878" spans="5:5" x14ac:dyDescent="0.3">
      <c r="E878" s="117"/>
    </row>
    <row r="879" spans="5:5" x14ac:dyDescent="0.3">
      <c r="E879" s="117"/>
    </row>
    <row r="880" spans="5:5" x14ac:dyDescent="0.3">
      <c r="E880" s="117"/>
    </row>
    <row r="881" spans="5:5" x14ac:dyDescent="0.3">
      <c r="E881" s="117"/>
    </row>
    <row r="882" spans="5:5" x14ac:dyDescent="0.3">
      <c r="E882" s="117"/>
    </row>
    <row r="883" spans="5:5" x14ac:dyDescent="0.3">
      <c r="E883" s="117"/>
    </row>
    <row r="884" spans="5:5" x14ac:dyDescent="0.3">
      <c r="E884" s="117"/>
    </row>
    <row r="885" spans="5:5" x14ac:dyDescent="0.3">
      <c r="E885" s="117"/>
    </row>
    <row r="886" spans="5:5" x14ac:dyDescent="0.3">
      <c r="E886" s="117"/>
    </row>
    <row r="887" spans="5:5" x14ac:dyDescent="0.3">
      <c r="E887" s="117"/>
    </row>
    <row r="888" spans="5:5" x14ac:dyDescent="0.3">
      <c r="E888" s="117"/>
    </row>
    <row r="889" spans="5:5" x14ac:dyDescent="0.3">
      <c r="E889" s="117"/>
    </row>
    <row r="890" spans="5:5" x14ac:dyDescent="0.3">
      <c r="E890" s="117"/>
    </row>
    <row r="891" spans="5:5" x14ac:dyDescent="0.3">
      <c r="E891" s="117"/>
    </row>
    <row r="892" spans="5:5" x14ac:dyDescent="0.3">
      <c r="E892" s="117"/>
    </row>
    <row r="893" spans="5:5" x14ac:dyDescent="0.3">
      <c r="E893" s="117"/>
    </row>
    <row r="894" spans="5:5" x14ac:dyDescent="0.3">
      <c r="E894" s="117"/>
    </row>
    <row r="895" spans="5:5" x14ac:dyDescent="0.3">
      <c r="E895" s="117"/>
    </row>
    <row r="896" spans="5:5" x14ac:dyDescent="0.3">
      <c r="E896" s="117"/>
    </row>
    <row r="897" spans="5:5" x14ac:dyDescent="0.3">
      <c r="E897" s="117"/>
    </row>
    <row r="898" spans="5:5" x14ac:dyDescent="0.3">
      <c r="E898" s="117"/>
    </row>
    <row r="899" spans="5:5" x14ac:dyDescent="0.3">
      <c r="E899" s="117"/>
    </row>
    <row r="900" spans="5:5" x14ac:dyDescent="0.3">
      <c r="E900" s="117"/>
    </row>
    <row r="901" spans="5:5" x14ac:dyDescent="0.3">
      <c r="E901" s="117"/>
    </row>
    <row r="902" spans="5:5" x14ac:dyDescent="0.3">
      <c r="E902" s="117"/>
    </row>
    <row r="903" spans="5:5" x14ac:dyDescent="0.3">
      <c r="E903" s="117"/>
    </row>
    <row r="904" spans="5:5" x14ac:dyDescent="0.3">
      <c r="E904" s="117"/>
    </row>
    <row r="905" spans="5:5" x14ac:dyDescent="0.3">
      <c r="E905" s="117"/>
    </row>
    <row r="906" spans="5:5" x14ac:dyDescent="0.3">
      <c r="E906" s="117"/>
    </row>
    <row r="907" spans="5:5" x14ac:dyDescent="0.3">
      <c r="E907" s="117"/>
    </row>
    <row r="908" spans="5:5" x14ac:dyDescent="0.3">
      <c r="E908" s="117"/>
    </row>
    <row r="909" spans="5:5" x14ac:dyDescent="0.3">
      <c r="E909" s="117"/>
    </row>
    <row r="910" spans="5:5" x14ac:dyDescent="0.3">
      <c r="E910" s="117"/>
    </row>
    <row r="911" spans="5:5" x14ac:dyDescent="0.3">
      <c r="E911" s="117"/>
    </row>
    <row r="912" spans="5:5" x14ac:dyDescent="0.3">
      <c r="E912" s="117"/>
    </row>
    <row r="913" spans="5:5" x14ac:dyDescent="0.3">
      <c r="E913" s="117"/>
    </row>
    <row r="914" spans="5:5" x14ac:dyDescent="0.3">
      <c r="E914" s="117"/>
    </row>
    <row r="915" spans="5:5" x14ac:dyDescent="0.3">
      <c r="E915" s="117"/>
    </row>
    <row r="916" spans="5:5" x14ac:dyDescent="0.3">
      <c r="E916" s="117"/>
    </row>
    <row r="917" spans="5:5" x14ac:dyDescent="0.3">
      <c r="E917" s="117"/>
    </row>
    <row r="918" spans="5:5" x14ac:dyDescent="0.3">
      <c r="E918" s="117"/>
    </row>
    <row r="919" spans="5:5" x14ac:dyDescent="0.3">
      <c r="E919" s="117"/>
    </row>
    <row r="920" spans="5:5" x14ac:dyDescent="0.3">
      <c r="E920" s="117"/>
    </row>
    <row r="921" spans="5:5" x14ac:dyDescent="0.3">
      <c r="E921" s="117"/>
    </row>
    <row r="922" spans="5:5" x14ac:dyDescent="0.3">
      <c r="E922" s="117"/>
    </row>
    <row r="923" spans="5:5" x14ac:dyDescent="0.3">
      <c r="E923" s="117"/>
    </row>
    <row r="924" spans="5:5" x14ac:dyDescent="0.3">
      <c r="E924" s="117"/>
    </row>
    <row r="925" spans="5:5" x14ac:dyDescent="0.3">
      <c r="E925" s="117"/>
    </row>
    <row r="926" spans="5:5" x14ac:dyDescent="0.3">
      <c r="E926" s="117"/>
    </row>
    <row r="927" spans="5:5" x14ac:dyDescent="0.3">
      <c r="E927" s="117"/>
    </row>
    <row r="928" spans="5:5" x14ac:dyDescent="0.3">
      <c r="E928" s="117"/>
    </row>
    <row r="929" spans="5:5" x14ac:dyDescent="0.3">
      <c r="E929" s="117"/>
    </row>
    <row r="930" spans="5:5" x14ac:dyDescent="0.3">
      <c r="E930" s="117"/>
    </row>
    <row r="931" spans="5:5" x14ac:dyDescent="0.3">
      <c r="E931" s="117"/>
    </row>
    <row r="932" spans="5:5" x14ac:dyDescent="0.3">
      <c r="E932" s="117"/>
    </row>
    <row r="933" spans="5:5" x14ac:dyDescent="0.3">
      <c r="E933" s="117"/>
    </row>
    <row r="934" spans="5:5" x14ac:dyDescent="0.3">
      <c r="E934" s="117"/>
    </row>
    <row r="935" spans="5:5" x14ac:dyDescent="0.3">
      <c r="E935" s="117"/>
    </row>
    <row r="936" spans="5:5" x14ac:dyDescent="0.3">
      <c r="E936" s="117"/>
    </row>
    <row r="937" spans="5:5" x14ac:dyDescent="0.3">
      <c r="E937" s="117"/>
    </row>
    <row r="938" spans="5:5" x14ac:dyDescent="0.3">
      <c r="E938" s="117"/>
    </row>
    <row r="939" spans="5:5" x14ac:dyDescent="0.3">
      <c r="E939" s="117"/>
    </row>
    <row r="940" spans="5:5" x14ac:dyDescent="0.3">
      <c r="E940" s="117"/>
    </row>
    <row r="941" spans="5:5" x14ac:dyDescent="0.3">
      <c r="E941" s="117"/>
    </row>
    <row r="942" spans="5:5" x14ac:dyDescent="0.3">
      <c r="E942" s="117"/>
    </row>
    <row r="943" spans="5:5" x14ac:dyDescent="0.3">
      <c r="E943" s="117"/>
    </row>
    <row r="944" spans="5:5" x14ac:dyDescent="0.3">
      <c r="E944" s="117"/>
    </row>
    <row r="945" spans="5:5" x14ac:dyDescent="0.3">
      <c r="E945" s="117"/>
    </row>
    <row r="946" spans="5:5" x14ac:dyDescent="0.3">
      <c r="E946" s="117"/>
    </row>
    <row r="947" spans="5:5" x14ac:dyDescent="0.3">
      <c r="E947" s="117"/>
    </row>
    <row r="948" spans="5:5" x14ac:dyDescent="0.3">
      <c r="E948" s="117"/>
    </row>
    <row r="949" spans="5:5" x14ac:dyDescent="0.3">
      <c r="E949" s="117"/>
    </row>
    <row r="950" spans="5:5" x14ac:dyDescent="0.3">
      <c r="E950" s="117"/>
    </row>
    <row r="951" spans="5:5" x14ac:dyDescent="0.3">
      <c r="E951" s="117"/>
    </row>
    <row r="952" spans="5:5" x14ac:dyDescent="0.3">
      <c r="E952" s="117"/>
    </row>
    <row r="953" spans="5:5" x14ac:dyDescent="0.3">
      <c r="E953" s="117"/>
    </row>
    <row r="954" spans="5:5" x14ac:dyDescent="0.3">
      <c r="E954" s="117"/>
    </row>
    <row r="955" spans="5:5" x14ac:dyDescent="0.3">
      <c r="E955" s="117"/>
    </row>
    <row r="956" spans="5:5" x14ac:dyDescent="0.3">
      <c r="E956" s="117"/>
    </row>
    <row r="957" spans="5:5" x14ac:dyDescent="0.3">
      <c r="E957" s="117"/>
    </row>
    <row r="958" spans="5:5" x14ac:dyDescent="0.3">
      <c r="E958" s="117"/>
    </row>
    <row r="959" spans="5:5" x14ac:dyDescent="0.3">
      <c r="E959" s="117"/>
    </row>
    <row r="960" spans="5:5" x14ac:dyDescent="0.3">
      <c r="E960" s="117"/>
    </row>
    <row r="961" spans="5:5" x14ac:dyDescent="0.3">
      <c r="E961" s="117"/>
    </row>
    <row r="962" spans="5:5" x14ac:dyDescent="0.3">
      <c r="E962" s="117"/>
    </row>
    <row r="963" spans="5:5" x14ac:dyDescent="0.3">
      <c r="E963" s="117"/>
    </row>
    <row r="964" spans="5:5" x14ac:dyDescent="0.3">
      <c r="E964" s="117"/>
    </row>
    <row r="965" spans="5:5" x14ac:dyDescent="0.3">
      <c r="E965" s="117"/>
    </row>
    <row r="966" spans="5:5" x14ac:dyDescent="0.3">
      <c r="E966" s="117"/>
    </row>
    <row r="967" spans="5:5" x14ac:dyDescent="0.3">
      <c r="E967" s="117"/>
    </row>
    <row r="968" spans="5:5" x14ac:dyDescent="0.3">
      <c r="E968" s="117"/>
    </row>
    <row r="969" spans="5:5" x14ac:dyDescent="0.3">
      <c r="E969" s="117"/>
    </row>
    <row r="970" spans="5:5" x14ac:dyDescent="0.3">
      <c r="E970" s="117"/>
    </row>
    <row r="971" spans="5:5" x14ac:dyDescent="0.3">
      <c r="E971" s="117"/>
    </row>
    <row r="972" spans="5:5" x14ac:dyDescent="0.3">
      <c r="E972" s="117"/>
    </row>
    <row r="973" spans="5:5" x14ac:dyDescent="0.3">
      <c r="E973" s="117"/>
    </row>
    <row r="974" spans="5:5" x14ac:dyDescent="0.3">
      <c r="E974" s="117"/>
    </row>
    <row r="975" spans="5:5" x14ac:dyDescent="0.3">
      <c r="E975" s="117"/>
    </row>
    <row r="976" spans="5:5" x14ac:dyDescent="0.3">
      <c r="E976" s="117"/>
    </row>
    <row r="977" spans="5:5" x14ac:dyDescent="0.3">
      <c r="E977" s="117"/>
    </row>
    <row r="978" spans="5:5" x14ac:dyDescent="0.3">
      <c r="E978" s="117"/>
    </row>
    <row r="979" spans="5:5" x14ac:dyDescent="0.3">
      <c r="E979" s="117"/>
    </row>
    <row r="980" spans="5:5" x14ac:dyDescent="0.3">
      <c r="E980" s="117"/>
    </row>
    <row r="981" spans="5:5" x14ac:dyDescent="0.3">
      <c r="E981" s="117"/>
    </row>
    <row r="982" spans="5:5" x14ac:dyDescent="0.3">
      <c r="E982" s="117"/>
    </row>
    <row r="983" spans="5:5" x14ac:dyDescent="0.3">
      <c r="E983" s="117"/>
    </row>
    <row r="984" spans="5:5" x14ac:dyDescent="0.3">
      <c r="E984" s="117"/>
    </row>
    <row r="985" spans="5:5" x14ac:dyDescent="0.3">
      <c r="E985" s="117"/>
    </row>
    <row r="986" spans="5:5" x14ac:dyDescent="0.3">
      <c r="E986" s="117"/>
    </row>
    <row r="987" spans="5:5" x14ac:dyDescent="0.3">
      <c r="E987" s="117"/>
    </row>
    <row r="988" spans="5:5" x14ac:dyDescent="0.3">
      <c r="E988" s="117"/>
    </row>
    <row r="989" spans="5:5" x14ac:dyDescent="0.3">
      <c r="E989" s="117"/>
    </row>
    <row r="990" spans="5:5" x14ac:dyDescent="0.3">
      <c r="E990" s="117"/>
    </row>
    <row r="991" spans="5:5" x14ac:dyDescent="0.3">
      <c r="E991" s="117"/>
    </row>
    <row r="992" spans="5:5" x14ac:dyDescent="0.3">
      <c r="E992" s="117"/>
    </row>
    <row r="993" spans="5:5" x14ac:dyDescent="0.3">
      <c r="E993" s="117"/>
    </row>
    <row r="994" spans="5:5" x14ac:dyDescent="0.3">
      <c r="E994" s="117"/>
    </row>
    <row r="995" spans="5:5" x14ac:dyDescent="0.3">
      <c r="E995" s="117"/>
    </row>
    <row r="996" spans="5:5" x14ac:dyDescent="0.3">
      <c r="E996" s="117"/>
    </row>
    <row r="997" spans="5:5" x14ac:dyDescent="0.3">
      <c r="E997" s="117"/>
    </row>
    <row r="998" spans="5:5" x14ac:dyDescent="0.3">
      <c r="E998" s="117"/>
    </row>
    <row r="999" spans="5:5" x14ac:dyDescent="0.3">
      <c r="E999" s="117"/>
    </row>
    <row r="1000" spans="5:5" x14ac:dyDescent="0.3">
      <c r="E1000" s="117"/>
    </row>
    <row r="1001" spans="5:5" x14ac:dyDescent="0.3">
      <c r="E1001" s="117"/>
    </row>
    <row r="1002" spans="5:5" x14ac:dyDescent="0.3">
      <c r="E1002" s="117"/>
    </row>
    <row r="1003" spans="5:5" x14ac:dyDescent="0.3">
      <c r="E1003" s="117"/>
    </row>
    <row r="1004" spans="5:5" x14ac:dyDescent="0.3">
      <c r="E1004" s="117"/>
    </row>
    <row r="1005" spans="5:5" x14ac:dyDescent="0.3">
      <c r="E1005" s="117"/>
    </row>
    <row r="1006" spans="5:5" x14ac:dyDescent="0.3">
      <c r="E1006" s="117"/>
    </row>
    <row r="1007" spans="5:5" x14ac:dyDescent="0.3">
      <c r="E1007" s="117"/>
    </row>
    <row r="1008" spans="5:5" x14ac:dyDescent="0.3">
      <c r="E1008" s="117"/>
    </row>
    <row r="1009" spans="5:5" x14ac:dyDescent="0.3">
      <c r="E1009" s="117"/>
    </row>
    <row r="1010" spans="5:5" x14ac:dyDescent="0.3">
      <c r="E1010" s="117"/>
    </row>
    <row r="1011" spans="5:5" x14ac:dyDescent="0.3">
      <c r="E1011" s="117"/>
    </row>
    <row r="1012" spans="5:5" x14ac:dyDescent="0.3">
      <c r="E1012" s="117"/>
    </row>
    <row r="1013" spans="5:5" x14ac:dyDescent="0.3">
      <c r="E1013" s="117"/>
    </row>
    <row r="1014" spans="5:5" x14ac:dyDescent="0.3">
      <c r="E1014" s="117"/>
    </row>
    <row r="1015" spans="5:5" x14ac:dyDescent="0.3">
      <c r="E1015" s="117"/>
    </row>
    <row r="1016" spans="5:5" x14ac:dyDescent="0.3">
      <c r="E1016" s="117"/>
    </row>
    <row r="1017" spans="5:5" x14ac:dyDescent="0.3">
      <c r="E1017" s="117"/>
    </row>
    <row r="1018" spans="5:5" x14ac:dyDescent="0.3">
      <c r="E1018" s="117"/>
    </row>
    <row r="1019" spans="5:5" x14ac:dyDescent="0.3">
      <c r="E1019" s="117"/>
    </row>
    <row r="1020" spans="5:5" x14ac:dyDescent="0.3">
      <c r="E1020" s="117"/>
    </row>
    <row r="1021" spans="5:5" x14ac:dyDescent="0.3">
      <c r="E1021" s="117"/>
    </row>
    <row r="1022" spans="5:5" x14ac:dyDescent="0.3">
      <c r="E1022" s="117"/>
    </row>
    <row r="1023" spans="5:5" x14ac:dyDescent="0.3">
      <c r="E1023" s="117"/>
    </row>
    <row r="1024" spans="5:5" x14ac:dyDescent="0.3">
      <c r="E1024" s="117"/>
    </row>
    <row r="1025" spans="5:5" x14ac:dyDescent="0.3">
      <c r="E1025" s="117"/>
    </row>
    <row r="1026" spans="5:5" x14ac:dyDescent="0.3">
      <c r="E1026" s="117"/>
    </row>
    <row r="1027" spans="5:5" x14ac:dyDescent="0.3">
      <c r="E1027" s="117"/>
    </row>
    <row r="1028" spans="5:5" x14ac:dyDescent="0.3">
      <c r="E1028" s="117"/>
    </row>
    <row r="1029" spans="5:5" x14ac:dyDescent="0.3">
      <c r="E1029" s="117"/>
    </row>
    <row r="1030" spans="5:5" x14ac:dyDescent="0.3">
      <c r="E1030" s="117"/>
    </row>
    <row r="1031" spans="5:5" x14ac:dyDescent="0.3">
      <c r="E1031" s="117"/>
    </row>
    <row r="1032" spans="5:5" x14ac:dyDescent="0.3">
      <c r="E1032" s="117"/>
    </row>
    <row r="1033" spans="5:5" x14ac:dyDescent="0.3">
      <c r="E1033" s="117"/>
    </row>
    <row r="1034" spans="5:5" x14ac:dyDescent="0.3">
      <c r="E1034" s="117"/>
    </row>
    <row r="1035" spans="5:5" x14ac:dyDescent="0.3">
      <c r="E1035" s="117"/>
    </row>
    <row r="1036" spans="5:5" x14ac:dyDescent="0.3">
      <c r="E1036" s="117"/>
    </row>
    <row r="1037" spans="5:5" x14ac:dyDescent="0.3">
      <c r="E1037" s="117"/>
    </row>
    <row r="1038" spans="5:5" x14ac:dyDescent="0.3">
      <c r="E1038" s="117"/>
    </row>
    <row r="1039" spans="5:5" x14ac:dyDescent="0.3">
      <c r="E1039" s="117"/>
    </row>
    <row r="1040" spans="5:5" x14ac:dyDescent="0.3">
      <c r="E1040" s="117"/>
    </row>
    <row r="1041" spans="5:5" x14ac:dyDescent="0.3">
      <c r="E1041" s="117"/>
    </row>
    <row r="1042" spans="5:5" x14ac:dyDescent="0.3">
      <c r="E1042" s="117"/>
    </row>
    <row r="1043" spans="5:5" x14ac:dyDescent="0.3">
      <c r="E1043" s="117"/>
    </row>
    <row r="1044" spans="5:5" x14ac:dyDescent="0.3">
      <c r="E1044" s="117"/>
    </row>
    <row r="1045" spans="5:5" x14ac:dyDescent="0.3">
      <c r="E1045" s="117"/>
    </row>
    <row r="1046" spans="5:5" x14ac:dyDescent="0.3">
      <c r="E1046" s="117"/>
    </row>
    <row r="1047" spans="5:5" x14ac:dyDescent="0.3">
      <c r="E1047" s="117"/>
    </row>
    <row r="1048" spans="5:5" x14ac:dyDescent="0.3">
      <c r="E1048" s="117"/>
    </row>
    <row r="1049" spans="5:5" x14ac:dyDescent="0.3">
      <c r="E1049" s="117"/>
    </row>
    <row r="1050" spans="5:5" x14ac:dyDescent="0.3">
      <c r="E1050" s="117"/>
    </row>
    <row r="1051" spans="5:5" x14ac:dyDescent="0.3">
      <c r="E1051" s="117"/>
    </row>
    <row r="1052" spans="5:5" x14ac:dyDescent="0.3">
      <c r="E1052" s="117"/>
    </row>
    <row r="1053" spans="5:5" x14ac:dyDescent="0.3">
      <c r="E1053" s="117"/>
    </row>
    <row r="1054" spans="5:5" x14ac:dyDescent="0.3">
      <c r="E1054" s="117"/>
    </row>
    <row r="1055" spans="5:5" x14ac:dyDescent="0.3">
      <c r="E1055" s="117"/>
    </row>
    <row r="1056" spans="5:5" x14ac:dyDescent="0.3">
      <c r="E1056" s="117"/>
    </row>
    <row r="1057" spans="5:5" x14ac:dyDescent="0.3">
      <c r="E1057" s="117"/>
    </row>
    <row r="1058" spans="5:5" x14ac:dyDescent="0.3">
      <c r="E1058" s="117"/>
    </row>
    <row r="1059" spans="5:5" x14ac:dyDescent="0.3">
      <c r="E1059" s="117"/>
    </row>
    <row r="1060" spans="5:5" x14ac:dyDescent="0.3">
      <c r="E1060" s="117"/>
    </row>
    <row r="1061" spans="5:5" x14ac:dyDescent="0.3">
      <c r="E1061" s="117"/>
    </row>
    <row r="1062" spans="5:5" x14ac:dyDescent="0.3">
      <c r="E1062" s="117"/>
    </row>
    <row r="1063" spans="5:5" x14ac:dyDescent="0.3">
      <c r="E1063" s="117"/>
    </row>
    <row r="1064" spans="5:5" x14ac:dyDescent="0.3">
      <c r="E1064" s="117"/>
    </row>
    <row r="1065" spans="5:5" x14ac:dyDescent="0.3">
      <c r="E1065" s="117"/>
    </row>
    <row r="1066" spans="5:5" x14ac:dyDescent="0.3">
      <c r="E1066" s="117"/>
    </row>
    <row r="1067" spans="5:5" x14ac:dyDescent="0.3">
      <c r="E1067" s="117"/>
    </row>
    <row r="1068" spans="5:5" x14ac:dyDescent="0.3">
      <c r="E1068" s="117"/>
    </row>
    <row r="1069" spans="5:5" x14ac:dyDescent="0.3">
      <c r="E1069" s="117"/>
    </row>
    <row r="1070" spans="5:5" x14ac:dyDescent="0.3">
      <c r="E1070" s="117"/>
    </row>
    <row r="1071" spans="5:5" x14ac:dyDescent="0.3">
      <c r="E1071" s="117"/>
    </row>
    <row r="1072" spans="5:5" x14ac:dyDescent="0.3">
      <c r="E1072" s="117"/>
    </row>
    <row r="1073" spans="5:5" x14ac:dyDescent="0.3">
      <c r="E1073" s="117"/>
    </row>
    <row r="1074" spans="5:5" x14ac:dyDescent="0.3">
      <c r="E1074" s="117"/>
    </row>
    <row r="1075" spans="5:5" x14ac:dyDescent="0.3">
      <c r="E1075" s="117"/>
    </row>
    <row r="1076" spans="5:5" x14ac:dyDescent="0.3">
      <c r="E1076" s="117"/>
    </row>
    <row r="1077" spans="5:5" x14ac:dyDescent="0.3">
      <c r="E1077" s="117"/>
    </row>
    <row r="1078" spans="5:5" x14ac:dyDescent="0.3">
      <c r="E1078" s="117"/>
    </row>
    <row r="1079" spans="5:5" x14ac:dyDescent="0.3">
      <c r="E1079" s="117"/>
    </row>
    <row r="1080" spans="5:5" x14ac:dyDescent="0.3">
      <c r="E1080" s="117"/>
    </row>
    <row r="1081" spans="5:5" x14ac:dyDescent="0.3">
      <c r="E1081" s="117"/>
    </row>
    <row r="1082" spans="5:5" x14ac:dyDescent="0.3">
      <c r="E1082" s="117"/>
    </row>
    <row r="1083" spans="5:5" x14ac:dyDescent="0.3">
      <c r="E1083" s="117"/>
    </row>
    <row r="1084" spans="5:5" x14ac:dyDescent="0.3">
      <c r="E1084" s="117"/>
    </row>
    <row r="1085" spans="5:5" x14ac:dyDescent="0.3">
      <c r="E1085" s="117"/>
    </row>
    <row r="1086" spans="5:5" x14ac:dyDescent="0.3">
      <c r="E1086" s="117"/>
    </row>
    <row r="1087" spans="5:5" x14ac:dyDescent="0.3">
      <c r="E1087" s="117"/>
    </row>
    <row r="1088" spans="5:5" x14ac:dyDescent="0.3">
      <c r="E1088" s="117"/>
    </row>
    <row r="1089" spans="5:5" x14ac:dyDescent="0.3">
      <c r="E1089" s="117"/>
    </row>
    <row r="1090" spans="5:5" x14ac:dyDescent="0.3">
      <c r="E1090" s="117"/>
    </row>
    <row r="1091" spans="5:5" x14ac:dyDescent="0.3">
      <c r="E1091" s="117"/>
    </row>
    <row r="1092" spans="5:5" x14ac:dyDescent="0.3">
      <c r="E1092" s="117"/>
    </row>
    <row r="1093" spans="5:5" x14ac:dyDescent="0.3">
      <c r="E1093" s="117"/>
    </row>
    <row r="1094" spans="5:5" x14ac:dyDescent="0.3">
      <c r="E1094" s="117"/>
    </row>
    <row r="1095" spans="5:5" x14ac:dyDescent="0.3">
      <c r="E1095" s="117"/>
    </row>
    <row r="1096" spans="5:5" x14ac:dyDescent="0.3">
      <c r="E1096" s="117"/>
    </row>
    <row r="1097" spans="5:5" x14ac:dyDescent="0.3">
      <c r="E1097" s="117"/>
    </row>
    <row r="1098" spans="5:5" x14ac:dyDescent="0.3">
      <c r="E1098" s="117"/>
    </row>
    <row r="1099" spans="5:5" x14ac:dyDescent="0.3">
      <c r="E1099" s="117"/>
    </row>
    <row r="1100" spans="5:5" x14ac:dyDescent="0.3">
      <c r="E1100" s="117"/>
    </row>
  </sheetData>
  <phoneticPr fontId="61" type="noConversion"/>
  <pageMargins left="0.70866141732283472" right="0.70866141732283472" top="0.74803149606299213" bottom="0.74803149606299213" header="0.31496062992125984" footer="0.31496062992125984"/>
  <pageSetup scale="75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B7E6-43E9-48AE-B677-37B529808BE8}">
  <sheetPr>
    <tabColor rgb="FF00B0F0"/>
  </sheetPr>
  <dimension ref="A2:D11"/>
  <sheetViews>
    <sheetView workbookViewId="0">
      <selection activeCell="C3" sqref="C3"/>
    </sheetView>
  </sheetViews>
  <sheetFormatPr defaultRowHeight="14.5" x14ac:dyDescent="0.35"/>
  <cols>
    <col min="1" max="1" width="10.26953125" bestFit="1" customWidth="1"/>
    <col min="3" max="3" width="64.453125" customWidth="1"/>
  </cols>
  <sheetData>
    <row r="2" spans="1:4" x14ac:dyDescent="0.35">
      <c r="A2" t="s">
        <v>396</v>
      </c>
    </row>
    <row r="3" spans="1:4" x14ac:dyDescent="0.35">
      <c r="B3">
        <v>9177</v>
      </c>
      <c r="C3" t="s">
        <v>419</v>
      </c>
    </row>
    <row r="4" spans="1:4" x14ac:dyDescent="0.35">
      <c r="A4" s="257"/>
      <c r="B4">
        <v>4886</v>
      </c>
      <c r="C4" t="s">
        <v>397</v>
      </c>
    </row>
    <row r="5" spans="1:4" ht="37.5" customHeight="1" x14ac:dyDescent="0.35">
      <c r="B5">
        <v>800</v>
      </c>
      <c r="C5" s="258" t="s">
        <v>398</v>
      </c>
    </row>
    <row r="6" spans="1:4" x14ac:dyDescent="0.35">
      <c r="B6">
        <v>6199</v>
      </c>
      <c r="C6" t="s">
        <v>399</v>
      </c>
    </row>
    <row r="7" spans="1:4" x14ac:dyDescent="0.35">
      <c r="A7" t="s">
        <v>400</v>
      </c>
      <c r="B7" s="205">
        <f>B4+B5+B6+B3</f>
        <v>21062</v>
      </c>
    </row>
    <row r="11" spans="1:4" x14ac:dyDescent="0.35">
      <c r="D11" s="2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DBBB-6227-484C-981C-479506B57522}">
  <sheetPr>
    <tabColor rgb="FFFF0000"/>
  </sheetPr>
  <dimension ref="A1:E14"/>
  <sheetViews>
    <sheetView workbookViewId="0">
      <selection activeCell="D13" sqref="D13"/>
    </sheetView>
  </sheetViews>
  <sheetFormatPr defaultRowHeight="14.5" x14ac:dyDescent="0.35"/>
  <cols>
    <col min="1" max="1" width="26.81640625" customWidth="1"/>
    <col min="4" max="4" width="12.453125" style="211" customWidth="1"/>
  </cols>
  <sheetData>
    <row r="1" spans="1:5" x14ac:dyDescent="0.35">
      <c r="A1" t="s">
        <v>401</v>
      </c>
    </row>
    <row r="3" spans="1:5" x14ac:dyDescent="0.35">
      <c r="B3" s="205">
        <v>2018</v>
      </c>
      <c r="C3" s="205">
        <v>2019</v>
      </c>
      <c r="D3" s="213" t="s">
        <v>402</v>
      </c>
    </row>
    <row r="4" spans="1:5" x14ac:dyDescent="0.35">
      <c r="A4" s="205" t="s">
        <v>403</v>
      </c>
      <c r="B4" s="206">
        <v>12882</v>
      </c>
      <c r="C4" s="206">
        <v>12926</v>
      </c>
      <c r="D4" s="212">
        <v>12967</v>
      </c>
      <c r="E4" t="s">
        <v>404</v>
      </c>
    </row>
    <row r="5" spans="1:5" x14ac:dyDescent="0.35">
      <c r="A5" s="205" t="s">
        <v>405</v>
      </c>
      <c r="B5" s="206">
        <v>1745</v>
      </c>
      <c r="C5" s="207">
        <v>1745</v>
      </c>
      <c r="D5" s="214">
        <v>6629</v>
      </c>
      <c r="E5" t="s">
        <v>48</v>
      </c>
    </row>
    <row r="6" spans="1:5" x14ac:dyDescent="0.35">
      <c r="A6" s="205" t="s">
        <v>406</v>
      </c>
      <c r="B6" s="206">
        <v>11233</v>
      </c>
      <c r="C6" s="206">
        <v>11652</v>
      </c>
      <c r="D6" s="214">
        <v>20917</v>
      </c>
      <c r="E6" t="s">
        <v>48</v>
      </c>
    </row>
    <row r="7" spans="1:5" x14ac:dyDescent="0.35">
      <c r="A7" s="205" t="s">
        <v>407</v>
      </c>
      <c r="B7" s="206">
        <v>2500</v>
      </c>
      <c r="C7" s="207">
        <v>2500</v>
      </c>
      <c r="D7" s="215">
        <v>2500</v>
      </c>
      <c r="E7" t="s">
        <v>404</v>
      </c>
    </row>
    <row r="8" spans="1:5" x14ac:dyDescent="0.35">
      <c r="A8" s="205" t="s">
        <v>408</v>
      </c>
      <c r="B8" s="206">
        <v>2895</v>
      </c>
      <c r="C8" s="206">
        <v>2931</v>
      </c>
      <c r="D8" s="214">
        <v>2923.5</v>
      </c>
      <c r="E8" t="s">
        <v>48</v>
      </c>
    </row>
    <row r="9" spans="1:5" x14ac:dyDescent="0.35">
      <c r="A9" s="205" t="s">
        <v>409</v>
      </c>
      <c r="B9" s="206">
        <v>2000</v>
      </c>
      <c r="C9" s="207">
        <v>2000</v>
      </c>
      <c r="D9" s="215">
        <v>2000</v>
      </c>
      <c r="E9" t="s">
        <v>404</v>
      </c>
    </row>
    <row r="10" spans="1:5" x14ac:dyDescent="0.35">
      <c r="A10" s="205" t="s">
        <v>410</v>
      </c>
      <c r="B10" s="206">
        <v>600</v>
      </c>
      <c r="C10" s="206">
        <v>600</v>
      </c>
      <c r="D10" s="215">
        <v>600</v>
      </c>
      <c r="E10" t="s">
        <v>404</v>
      </c>
    </row>
    <row r="11" spans="1:5" x14ac:dyDescent="0.35">
      <c r="A11" s="205" t="s">
        <v>411</v>
      </c>
      <c r="B11" s="206">
        <v>3200</v>
      </c>
      <c r="C11" s="207">
        <v>3200</v>
      </c>
      <c r="D11" s="214">
        <v>3660</v>
      </c>
      <c r="E11" t="s">
        <v>48</v>
      </c>
    </row>
    <row r="12" spans="1:5" x14ac:dyDescent="0.35">
      <c r="A12" s="205" t="s">
        <v>412</v>
      </c>
      <c r="B12" s="206">
        <v>3196</v>
      </c>
      <c r="C12" s="207">
        <v>3196</v>
      </c>
      <c r="D12" s="215">
        <v>3196</v>
      </c>
      <c r="E12" t="s">
        <v>404</v>
      </c>
    </row>
    <row r="13" spans="1:5" x14ac:dyDescent="0.35">
      <c r="A13" s="208" t="s">
        <v>325</v>
      </c>
      <c r="B13" s="209">
        <f>SUM(B4:B12)</f>
        <v>40251</v>
      </c>
      <c r="C13" s="209">
        <f>SUM(C4:C12)</f>
        <v>40750</v>
      </c>
      <c r="D13" s="216">
        <f>SUM(D4:D12)</f>
        <v>55392.5</v>
      </c>
    </row>
    <row r="14" spans="1:5" x14ac:dyDescent="0.35">
      <c r="A14" s="20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05C55946F2DA4EBDAC3C514AF099E4" ma:contentTypeVersion="8" ma:contentTypeDescription="Loo uus dokument" ma:contentTypeScope="" ma:versionID="4d145bfabe42ae308431900b2038bb3d">
  <xsd:schema xmlns:xsd="http://www.w3.org/2001/XMLSchema" xmlns:xs="http://www.w3.org/2001/XMLSchema" xmlns:p="http://schemas.microsoft.com/office/2006/metadata/properties" xmlns:ns3="1584ad24-be59-481a-a9be-e190702841c6" targetNamespace="http://schemas.microsoft.com/office/2006/metadata/properties" ma:root="true" ma:fieldsID="76940469db3522f7ad6fef1a4d963bed" ns3:_="">
    <xsd:import namespace="1584ad24-be59-481a-a9be-e190702841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4ad24-be59-481a-a9be-e190702841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62B2FE-2931-4F09-80E9-FA3B35245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84ad24-be59-481a-a9be-e19070284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3FAC0C-5A07-4659-AD26-E06A51A90E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C68E43-E839-4D9C-8046-75643587DEC7}">
  <ds:schemaRefs>
    <ds:schemaRef ds:uri="http://schemas.microsoft.com/office/2006/documentManagement/types"/>
    <ds:schemaRef ds:uri="http://schemas.openxmlformats.org/package/2006/metadata/core-properties"/>
    <ds:schemaRef ds:uri="1584ad24-be59-481a-a9be-e190702841c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KOONDEELARVE</vt:lpstr>
      <vt:lpstr>EELARVE </vt:lpstr>
      <vt:lpstr>reservfondi kasutus</vt:lpstr>
      <vt:lpstr>liikmemaksud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Maarja Kuuskla</dc:creator>
  <cp:keywords/>
  <dc:description/>
  <cp:lastModifiedBy>Sirje Laigu</cp:lastModifiedBy>
  <cp:revision/>
  <cp:lastPrinted>2020-01-21T15:07:58Z</cp:lastPrinted>
  <dcterms:created xsi:type="dcterms:W3CDTF">2017-12-22T08:46:41Z</dcterms:created>
  <dcterms:modified xsi:type="dcterms:W3CDTF">2020-02-05T06:59:43Z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0x0101001205C55946F2DA4EBDAC3C514AF099E4</vt:lpwstr>
  </property>
</Properties>
</file>